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60" windowWidth="7515" windowHeight="4110"/>
  </bookViews>
  <sheets>
    <sheet name="Tender Summary" sheetId="20" r:id="rId1"/>
    <sheet name="Preliminaries" sheetId="19" r:id="rId2"/>
    <sheet name="Sub-contractor analysis" sheetId="18" r:id="rId3"/>
    <sheet name="Labour Analysis" sheetId="52" r:id="rId4"/>
    <sheet name="Plant Analysis" sheetId="53" r:id="rId5"/>
    <sheet name="DataAggregate" sheetId="60" state="hidden" r:id="rId6"/>
    <sheet name="DataBrick" sheetId="51" state="hidden" r:id="rId7"/>
    <sheet name="DataTimber" sheetId="59" state="hidden" r:id="rId8"/>
    <sheet name="DataInsulation" sheetId="56" state="hidden" r:id="rId9"/>
    <sheet name="DataSheetMats" sheetId="61" state="hidden" r:id="rId10"/>
    <sheet name="DataLintels" sheetId="62" state="hidden" r:id="rId11"/>
    <sheet name="DataGuttering" sheetId="64" state="hidden" r:id="rId12"/>
    <sheet name="Material Analysis" sheetId="58" r:id="rId13"/>
    <sheet name="Site set up &amp; demolitions" sheetId="15" r:id="rId14"/>
    <sheet name="Groundwork (Machine)" sheetId="1" r:id="rId15"/>
    <sheet name="Brickwork to DPC" sheetId="27" r:id="rId16"/>
    <sheet name="Ground floor (Beam &amp; Block)" sheetId="29" r:id="rId17"/>
    <sheet name="External walls (Brickwork)" sheetId="2" r:id="rId18"/>
    <sheet name="Stone work" sheetId="33" r:id="rId19"/>
    <sheet name="Lintels &amp; steelwork" sheetId="34" r:id="rId20"/>
    <sheet name="External Joinery" sheetId="8" r:id="rId21"/>
    <sheet name="First-floor" sheetId="16" r:id="rId22"/>
    <sheet name="Roof Structure (Truss)" sheetId="37" r:id="rId23"/>
    <sheet name="DataRoof" sheetId="63" state="hidden" r:id="rId24"/>
    <sheet name="Roof Covers" sheetId="48" r:id="rId25"/>
    <sheet name="Carpentry (First-fix)" sheetId="11" r:id="rId26"/>
    <sheet name="Plaster, Drylining &amp; Insulation" sheetId="39" r:id="rId27"/>
    <sheet name="Carpentry (Second-fix)" sheetId="40" r:id="rId28"/>
    <sheet name="Painting" sheetId="41" r:id="rId29"/>
    <sheet name="M&amp;E" sheetId="12" r:id="rId30"/>
    <sheet name="Guttering" sheetId="13" r:id="rId31"/>
    <sheet name="Bel Ground Drain (Storm - Mach)" sheetId="54" r:id="rId32"/>
    <sheet name="Bel Ground Drain (Foul - Mach)" sheetId="55" r:id="rId33"/>
    <sheet name="Foul Pumping Station" sheetId="23" r:id="rId34"/>
    <sheet name="Rainwater Attenuation" sheetId="24" r:id="rId35"/>
    <sheet name="Rainwater Harvester" sheetId="25" r:id="rId36"/>
    <sheet name="External Works" sheetId="14" r:id="rId37"/>
    <sheet name="Services" sheetId="21" r:id="rId38"/>
    <sheet name="Collection" sheetId="17" r:id="rId39"/>
  </sheets>
  <definedNames>
    <definedName name="AcousticRoll">DataInsulation!$E$66:$E$69</definedName>
    <definedName name="Aggregate">DataAggregate!$A$2:$A$5</definedName>
    <definedName name="AL_Gutter">DataGuttering!$C$9:$C$16</definedName>
    <definedName name="ArchitravePrices">DataTimber!$Z$13:$AA$22</definedName>
    <definedName name="Architraves">DataTimber!$W$13:$W$14</definedName>
    <definedName name="BlockPrices">DataBrick!$F$8:$G$14</definedName>
    <definedName name="BlockType">DataBrick!$A$9:$A$10</definedName>
    <definedName name="Bond">DataBrick!$E$3:$E$5</definedName>
    <definedName name="Box_100">DataLintels!$F$48:$F$64</definedName>
    <definedName name="Box_200">DataLintels!$F$65:$F$81</definedName>
    <definedName name="BrickBond">DataBrick!$E$2:$F$5</definedName>
    <definedName name="BrickThickness">DataBrick!$C$2:$C$4</definedName>
    <definedName name="BrickType">DataBrick!$A$2:$A$5</definedName>
    <definedName name="CavClosers">DataInsulation!$I$2</definedName>
    <definedName name="CavitySlab">DataInsulation!$E$74:$E$77</definedName>
    <definedName name="Cedar">DataTimber!$I$8:$I$10</definedName>
    <definedName name="Celcon">DataBrick!$D$8:$D$9</definedName>
    <definedName name="Celotex">DataInsulation!$C$2:$C$6</definedName>
    <definedName name="CF_edge">DataTimber!$K$8:$K$10</definedName>
    <definedName name="Chipboard">DataSheetMats!$D$6:$D$7</definedName>
    <definedName name="CI_Gutter">DataGuttering!$C$17:$C$24</definedName>
    <definedName name="CladdingPrices">DataTimber!$K$2:$L$21</definedName>
    <definedName name="CladdingType">DataTimber!$F$2:$F$5</definedName>
    <definedName name="CLS">DataTimber!$C$18:$C$19</definedName>
    <definedName name="CLSPrice">DataTimber!$C$18:$D$19</definedName>
    <definedName name="Concrete">DataAggregate!$F$3:$F$7</definedName>
    <definedName name="ConcretePrice">DataAggregate!$F$3:$G$7</definedName>
    <definedName name="CShiplap">DataTimber!$K$11</definedName>
    <definedName name="CTGV">DataTimber!$K$12:$K$14</definedName>
    <definedName name="DoorLinings">DataTimber!$W$2:$W$3</definedName>
    <definedName name="Dritherm">DataInsulation!$E$70:$E$73</definedName>
    <definedName name="Earthwool">DataInsulation!$C$62:$C$64</definedName>
    <definedName name="FasciasSoffits">DataTimber!$N$2:$N$4</definedName>
    <definedName name="FlatPrices">DataRoof!$A$2:$B$6</definedName>
    <definedName name="FlatTypes">DataRoof!$A$2:$A$6</definedName>
    <definedName name="Flexi">DataInsulation!$E$78:$E$82</definedName>
    <definedName name="GA">DataInsulation!$E$9:$E$19</definedName>
    <definedName name="GA_Price">DataInsulation!$E$9:$F$19</definedName>
    <definedName name="Gravel">DataAggregate!$I$3:$I$4</definedName>
    <definedName name="GravelPrice">DataAggregate!$I$3:$J$4</definedName>
    <definedName name="Gutter">DataGuttering!$A$2:$A$4</definedName>
    <definedName name="GutterPrices">DataGuttering!$C$2:$D$24</definedName>
    <definedName name="Hardcore">DataAggregate!$C$3</definedName>
    <definedName name="HardcorePrice">DataAggregate!$C$3:$D$3</definedName>
    <definedName name="HW_Arch">DataTimber!$Z$18:$Z$22</definedName>
    <definedName name="HW_Board">DataTimber!$AF$3</definedName>
    <definedName name="HW_Lining">DataTimber!$Z$5:$Z$7</definedName>
    <definedName name="HW_Skirting">DataTimber!$AF$18:$AF$22</definedName>
    <definedName name="HW_Stairs">DataTimber!$AL$4:$AL$5</definedName>
    <definedName name="I.G.">DataLintels!$D$2:$D$5</definedName>
    <definedName name="Insulation">DataInsulation!$A$2:'DataInsulation'!$A$6</definedName>
    <definedName name="K_18">DataInsulation!$E$53:$E$61</definedName>
    <definedName name="K_3">DataInsulation!$E$38:$E$41</definedName>
    <definedName name="K_7">DataInsulation!$E$42:$E$48</definedName>
    <definedName name="K18Price">DataInsulation!$E$53:$F$61</definedName>
    <definedName name="K3Price">DataInsulation!$E$38:$F$41</definedName>
    <definedName name="K7Price">DataInsulation!$E$42:$F$48</definedName>
    <definedName name="Kingspan">DataInsulation!$C$38:$C$41</definedName>
    <definedName name="LF_edge">DataTimber!$K$15</definedName>
    <definedName name="LiningPrices">DataTimber!$Z$2:$AA$7</definedName>
    <definedName name="LintelPrices">DataLintels!$F$2:$G$81</definedName>
    <definedName name="Lintels">DataLintels!$A$2:$A$3</definedName>
    <definedName name="LoftRoll">DataInsulation!$E$62:$E$65</definedName>
    <definedName name="LShiplap">DataTimber!$K$16</definedName>
    <definedName name="LTGV">DataTimber!$K$17:$K$19</definedName>
    <definedName name="MDF">DataSheetMats!$D$8:$D$11</definedName>
    <definedName name="OneBond">DataBrick!$H$3:$H$5</definedName>
    <definedName name="OneBrickBond">DataBrick!$H$2:$I$5</definedName>
    <definedName name="OneHalfBond">DataBrick!$K$3:$K$5</definedName>
    <definedName name="OneHalfBrickBond">DataBrick!$K$2:$L$5</definedName>
    <definedName name="OSB">DataSheetMats!$D$12:$D$15</definedName>
    <definedName name="PitchedPrices">DataRoof!$D$2:$E$6</definedName>
    <definedName name="PitchedTypes">DataRoof!$D$2:$D$6</definedName>
    <definedName name="PL">DataInsulation!$E$31:$E$37</definedName>
    <definedName name="PLPrice">DataInsulation!$E$31:$F$37</definedName>
    <definedName name="Plywood">DataSheetMats!$D$2:$D$5</definedName>
    <definedName name="PlywoodFascia">DataTimber!$Q$15:$Q$21</definedName>
    <definedName name="_xlnm.Print_Area" localSheetId="32">'Bel Ground Drain (Foul - Mach)'!$A$1:$K$64</definedName>
    <definedName name="_xlnm.Print_Area" localSheetId="31">'Bel Ground Drain (Storm - Mach)'!$A$1:$K$64</definedName>
    <definedName name="_xlnm.Print_Area" localSheetId="15">'Brickwork to DPC'!$A$1:$K$64</definedName>
    <definedName name="_xlnm.Print_Area" localSheetId="25">'Carpentry (First-fix)'!$A$1:$K$64</definedName>
    <definedName name="_xlnm.Print_Area" localSheetId="27">'Carpentry (Second-fix)'!$A$1:$K$64</definedName>
    <definedName name="_xlnm.Print_Area" localSheetId="38">Collection!$A$1:$K$61</definedName>
    <definedName name="_xlnm.Print_Area" localSheetId="20">'External Joinery'!$A$1:$K$64</definedName>
    <definedName name="_xlnm.Print_Area" localSheetId="17">'External walls (Brickwork)'!$A$1:$K$126</definedName>
    <definedName name="_xlnm.Print_Area" localSheetId="36">'External Works'!$A$1:$K$127</definedName>
    <definedName name="_xlnm.Print_Area" localSheetId="21">'First-floor'!$A$1:$K$63</definedName>
    <definedName name="_xlnm.Print_Area" localSheetId="33">'Foul Pumping Station'!$A$1:$K$63</definedName>
    <definedName name="_xlnm.Print_Area" localSheetId="16">'Ground floor (Beam &amp; Block)'!$A$1:$K$63</definedName>
    <definedName name="_xlnm.Print_Area" localSheetId="14">'Groundwork (Machine)'!$A$1:$K$127</definedName>
    <definedName name="_xlnm.Print_Area" localSheetId="30">Guttering!$A$1:$K$64</definedName>
    <definedName name="_xlnm.Print_Area" localSheetId="19">'Lintels &amp; steelwork'!$A$1:$K$64</definedName>
    <definedName name="_xlnm.Print_Area" localSheetId="28">Painting!$A$1:$K$128</definedName>
    <definedName name="_xlnm.Print_Area" localSheetId="26">'Plaster, Drylining &amp; Insulation'!$A$1:$K$191</definedName>
    <definedName name="_xlnm.Print_Area" localSheetId="34">'Rainwater Attenuation'!$A$1:$K$64</definedName>
    <definedName name="_xlnm.Print_Area" localSheetId="35">'Rainwater Harvester'!$A$1:$K$64</definedName>
    <definedName name="_xlnm.Print_Area" localSheetId="24">'Roof Covers'!$A$1:$K$64</definedName>
    <definedName name="_xlnm.Print_Area" localSheetId="22">'Roof Structure (Truss)'!$A$1:$K$63</definedName>
    <definedName name="_xlnm.Print_Area" localSheetId="37">Services!$A$1:$K$63</definedName>
    <definedName name="_xlnm.Print_Area" localSheetId="13">'Site set up &amp; demolitions'!$A$1:$K$63</definedName>
    <definedName name="_xlnm.Print_Area" localSheetId="18">'Stone work'!$A$1:$K$64</definedName>
    <definedName name="_xlnm.Print_Area" localSheetId="2">'Sub-contractor analysis'!$A$1:$F$49</definedName>
    <definedName name="Rockwool">DataInsulation!$C$74:$C$75</definedName>
    <definedName name="S_100">DataLintels!$F$19:$F$47</definedName>
    <definedName name="S_75">DataLintels!$F$2:$F$18</definedName>
    <definedName name="Sand">DataAggregate!$L$3</definedName>
    <definedName name="SandPrice">DataAggregate!$L$3:$M$3</definedName>
    <definedName name="SF_edge">DataTimber!$K$2:$K$3</definedName>
    <definedName name="SheetMaterial">DataSheetMats!$A$2:$A$5</definedName>
    <definedName name="SheetPrices">DataSheetMats!$D$2:$E$15</definedName>
    <definedName name="Shield">DataBrick!$F$13</definedName>
    <definedName name="SiberianLarch">DataTimber!$I$15:$I$17</definedName>
    <definedName name="Skirting">DataTimber!$AC$13:$AC$14</definedName>
    <definedName name="SkirtingPrices">DataTimber!$AF$13:$AG$22</definedName>
    <definedName name="Softwood">DataTimber!$I$2:$I$4</definedName>
    <definedName name="SoftwoodFascia">DataTimber!$Q$2:$Q$5</definedName>
    <definedName name="Solar">DataBrick!$F$11:$F$12</definedName>
    <definedName name="SShiplap">DataTimber!$K$4:$K$5</definedName>
    <definedName name="StairPrices">DataTimber!$AL$2:$AM$5</definedName>
    <definedName name="Stairs">DataTimber!$AI$2:$AI$3</definedName>
    <definedName name="Standard">DataBrick!$F$8:$F$10</definedName>
    <definedName name="STGV">DataTimber!$K$6:$K$7</definedName>
    <definedName name="SW_Arch">DataTimber!$Z$13:$Z$17</definedName>
    <definedName name="SW_Board">DataTimber!$AF$2</definedName>
    <definedName name="SW_Lining">DataTimber!$Z$2:$Z$4</definedName>
    <definedName name="SW_Skirting">DataTimber!$AF$13:$AF$17</definedName>
    <definedName name="SW_Stairs">DataTimber!$AL$2:$AL$3</definedName>
    <definedName name="SwTreated">DataTimber!$C$10:$C$17</definedName>
    <definedName name="SwTreatedPrice">DataTimber!$C$10:$D$17</definedName>
    <definedName name="SwUntreated">DataTimber!$C$2:$C$9</definedName>
    <definedName name="SwUntreatedPrice">DataTimber!$C$2:$D$9</definedName>
    <definedName name="TB">DataInsulation!$E$2:$E$8</definedName>
    <definedName name="TB_Price">DataInsulation!$E$2:$F$8</definedName>
    <definedName name="TD">DataInsulation!$E$27:$E$30</definedName>
    <definedName name="TDPrice">DataInsulation!$E$27:$F$30</definedName>
    <definedName name="Thermabate">DataInsulation!$J$2:$J$7</definedName>
    <definedName name="ThermabatePrices">DataInsulation!$J$2:$K$7</definedName>
    <definedName name="Thermalite">DataBrick!$D$12:$D$13</definedName>
    <definedName name="Thermowood">DataTimber!$I$20:$I$21</definedName>
    <definedName name="Tiles">DataSheetMats!$H$2:$H$4</definedName>
    <definedName name="TimberType">DataTimber!$A$2:$A$5</definedName>
    <definedName name="TP">DataInsulation!$E$49:$E$52</definedName>
    <definedName name="TPPrice">DataInsulation!$E$49:$F$52</definedName>
    <definedName name="TrussPrices">DataTimber!$T$2:$U$5</definedName>
    <definedName name="TrussTypes">DataTimber!$T$2:$T$5</definedName>
    <definedName name="TShiplap">DataTimber!$K$20</definedName>
    <definedName name="TTGV">DataTimber!$K$21</definedName>
    <definedName name="Turbo">DataBrick!$F$14</definedName>
    <definedName name="UPVC">DataTimber!$Q$6:$Q$14</definedName>
    <definedName name="UPVC_Gutter">DataGuttering!$C$2:$C$8</definedName>
    <definedName name="WindowBoard">DataTimber!$AC$2:$AC$3</definedName>
    <definedName name="WindowBoardPrices">DataTimber!$AF$2:$AG$3</definedName>
    <definedName name="XR">DataInsulation!$E$20:$E$26</definedName>
    <definedName name="XRPrice">DataInsulation!$E$20:$F$26</definedName>
  </definedNames>
  <calcPr calcId="124519"/>
</workbook>
</file>

<file path=xl/calcChain.xml><?xml version="1.0" encoding="utf-8"?>
<calcChain xmlns="http://schemas.openxmlformats.org/spreadsheetml/2006/main">
  <c r="D45" i="18"/>
  <c r="C14" i="16"/>
  <c r="C13"/>
  <c r="D14"/>
  <c r="E13"/>
  <c r="E12"/>
  <c r="C12"/>
  <c r="C11"/>
  <c r="L116" i="58"/>
  <c r="I116"/>
  <c r="F116"/>
  <c r="O116"/>
  <c r="K31" i="12"/>
  <c r="K26"/>
  <c r="D38" i="34"/>
  <c r="J38" s="1"/>
  <c r="C38"/>
  <c r="H38" s="1"/>
  <c r="E119" i="2"/>
  <c r="E117"/>
  <c r="G118"/>
  <c r="D120" s="1"/>
  <c r="C118"/>
  <c r="C116"/>
  <c r="C114"/>
  <c r="E108"/>
  <c r="C109"/>
  <c r="C107"/>
  <c r="C105"/>
  <c r="E110"/>
  <c r="G109"/>
  <c r="D111" s="1"/>
  <c r="D102"/>
  <c r="J102" s="1"/>
  <c r="C102"/>
  <c r="H102" s="1"/>
  <c r="D29" i="34"/>
  <c r="C29"/>
  <c r="H29" s="1"/>
  <c r="L67" i="58" s="1"/>
  <c r="F67"/>
  <c r="I67" s="1"/>
  <c r="F29" i="34" s="1"/>
  <c r="C13" i="18"/>
  <c r="E29" i="21"/>
  <c r="E13" i="25"/>
  <c r="E13" i="24"/>
  <c r="D37" i="21"/>
  <c r="I114" i="58"/>
  <c r="I113"/>
  <c r="F55" i="21"/>
  <c r="I115" i="58"/>
  <c r="E55" i="21"/>
  <c r="D55"/>
  <c r="C55"/>
  <c r="H55" s="1"/>
  <c r="L115" i="58" s="1"/>
  <c r="O115" s="1"/>
  <c r="C20" i="21"/>
  <c r="C22" s="1"/>
  <c r="F29" s="1"/>
  <c r="C46"/>
  <c r="C48" s="1"/>
  <c r="H51" s="1"/>
  <c r="L13" i="58" s="1"/>
  <c r="E49" i="21"/>
  <c r="G50"/>
  <c r="D51" s="1"/>
  <c r="O67" i="58" l="1"/>
  <c r="C15" i="16"/>
  <c r="H14" s="1"/>
  <c r="J29" i="34"/>
  <c r="K38"/>
  <c r="C120" i="2"/>
  <c r="H120" s="1"/>
  <c r="F120"/>
  <c r="F111"/>
  <c r="J111" s="1"/>
  <c r="C111"/>
  <c r="H111" s="1"/>
  <c r="K102"/>
  <c r="K29" i="34"/>
  <c r="J55" i="21"/>
  <c r="H30"/>
  <c r="E30" s="1"/>
  <c r="J30" s="1"/>
  <c r="K30" s="1"/>
  <c r="K55"/>
  <c r="F51"/>
  <c r="F42"/>
  <c r="F36"/>
  <c r="F23"/>
  <c r="J120" i="2" l="1"/>
  <c r="K120" s="1"/>
  <c r="K111"/>
  <c r="J51" i="21"/>
  <c r="K51" s="1"/>
  <c r="D43" l="1"/>
  <c r="H43"/>
  <c r="L70" i="58"/>
  <c r="L69"/>
  <c r="F84" i="2"/>
  <c r="I103" i="58"/>
  <c r="F32" i="23" s="1"/>
  <c r="L95" i="58"/>
  <c r="L94"/>
  <c r="C74" i="14"/>
  <c r="C73"/>
  <c r="C72"/>
  <c r="C71"/>
  <c r="C70"/>
  <c r="D65"/>
  <c r="C42"/>
  <c r="C40"/>
  <c r="E14"/>
  <c r="C13"/>
  <c r="C11"/>
  <c r="C9"/>
  <c r="E46" i="24"/>
  <c r="C39"/>
  <c r="E47" i="23"/>
  <c r="D47"/>
  <c r="C46"/>
  <c r="C48" s="1"/>
  <c r="H47" s="1"/>
  <c r="E32"/>
  <c r="D32"/>
  <c r="C14" i="55"/>
  <c r="C13"/>
  <c r="C12"/>
  <c r="C11"/>
  <c r="C10"/>
  <c r="C9"/>
  <c r="C8"/>
  <c r="C14" i="54"/>
  <c r="C8" i="13"/>
  <c r="C7"/>
  <c r="H37" i="21" l="1"/>
  <c r="H24"/>
  <c r="J47" i="23"/>
  <c r="K47" s="1"/>
  <c r="C45" i="41"/>
  <c r="C44"/>
  <c r="C43"/>
  <c r="C42"/>
  <c r="C40"/>
  <c r="C39"/>
  <c r="C38"/>
  <c r="C37"/>
  <c r="C36"/>
  <c r="C35"/>
  <c r="C34"/>
  <c r="C33"/>
  <c r="C32"/>
  <c r="C18"/>
  <c r="C17"/>
  <c r="C32" i="40"/>
  <c r="C31"/>
  <c r="C6"/>
  <c r="C5"/>
  <c r="C140" i="39"/>
  <c r="C139"/>
  <c r="C138"/>
  <c r="C137"/>
  <c r="C136"/>
  <c r="C135"/>
  <c r="C134"/>
  <c r="C133"/>
  <c r="C132"/>
  <c r="C131"/>
  <c r="C123"/>
  <c r="C121"/>
  <c r="C119"/>
  <c r="C117"/>
  <c r="C115"/>
  <c r="C113"/>
  <c r="C111"/>
  <c r="C109"/>
  <c r="C107"/>
  <c r="C105"/>
  <c r="C125"/>
  <c r="C55"/>
  <c r="C53"/>
  <c r="C51"/>
  <c r="C9"/>
  <c r="C22" i="48"/>
  <c r="C16"/>
  <c r="C9"/>
  <c r="C42" i="37"/>
  <c r="C41"/>
  <c r="E24" i="21" l="1"/>
  <c r="D24"/>
  <c r="E35" i="37"/>
  <c r="D36"/>
  <c r="C36"/>
  <c r="H36" s="1"/>
  <c r="E29"/>
  <c r="D30"/>
  <c r="C30"/>
  <c r="H30" s="1"/>
  <c r="F35" i="58"/>
  <c r="I35" s="1"/>
  <c r="F24" i="37" s="1"/>
  <c r="F36" i="58"/>
  <c r="I36" s="1"/>
  <c r="F30" i="37" s="1"/>
  <c r="C7"/>
  <c r="C39" i="16"/>
  <c r="J34" i="34"/>
  <c r="K34" s="1"/>
  <c r="J24" i="21" l="1"/>
  <c r="K24" s="1"/>
  <c r="J30" i="37"/>
  <c r="K30" s="1"/>
  <c r="C23" i="8" l="1"/>
  <c r="C21"/>
  <c r="C19"/>
  <c r="C17"/>
  <c r="C15"/>
  <c r="C13"/>
  <c r="C11"/>
  <c r="C9"/>
  <c r="C7"/>
  <c r="C5"/>
  <c r="C25" l="1"/>
  <c r="C96" i="2"/>
  <c r="D89"/>
  <c r="J89" s="1"/>
  <c r="C90"/>
  <c r="C89"/>
  <c r="C88"/>
  <c r="C87"/>
  <c r="C91" s="1"/>
  <c r="H89" s="1"/>
  <c r="D84"/>
  <c r="C78"/>
  <c r="C71"/>
  <c r="C34"/>
  <c r="C77"/>
  <c r="K89" l="1"/>
  <c r="C70"/>
  <c r="C32"/>
  <c r="C30"/>
  <c r="C28"/>
  <c r="C26"/>
  <c r="C42" i="29"/>
  <c r="C41"/>
  <c r="C9"/>
  <c r="C40" i="27"/>
  <c r="C39"/>
  <c r="C38"/>
  <c r="C6"/>
  <c r="C5"/>
  <c r="C13" i="1"/>
  <c r="C11"/>
  <c r="C9"/>
  <c r="C7"/>
  <c r="E113" i="52" l="1"/>
  <c r="L117" i="58" l="1"/>
  <c r="E44" i="29" l="1"/>
  <c r="E43"/>
  <c r="E42"/>
  <c r="D45"/>
  <c r="C40"/>
  <c r="C39"/>
  <c r="C43" s="1"/>
  <c r="F41" s="1"/>
  <c r="H45" s="1"/>
  <c r="L39" i="58" s="1"/>
  <c r="F39"/>
  <c r="I39" s="1"/>
  <c r="E21" i="29"/>
  <c r="E20"/>
  <c r="E19"/>
  <c r="B48" i="52"/>
  <c r="F45" i="29" l="1"/>
  <c r="J45" s="1"/>
  <c r="K45" s="1"/>
  <c r="O39" i="58"/>
  <c r="J104" i="39" l="1"/>
  <c r="D100"/>
  <c r="E99"/>
  <c r="E98"/>
  <c r="E97"/>
  <c r="C102"/>
  <c r="C100"/>
  <c r="C98"/>
  <c r="C96"/>
  <c r="F49" i="58"/>
  <c r="I49" s="1"/>
  <c r="F100" i="39" l="1"/>
  <c r="J100" s="1"/>
  <c r="C127"/>
  <c r="C104"/>
  <c r="I108" i="58"/>
  <c r="F35" i="27" s="1"/>
  <c r="I109" i="58"/>
  <c r="F11" i="29" s="1"/>
  <c r="I110" i="58"/>
  <c r="F15" i="29" s="1"/>
  <c r="I111" i="58"/>
  <c r="I112"/>
  <c r="E77" i="1"/>
  <c r="E70"/>
  <c r="E64"/>
  <c r="E47"/>
  <c r="E40"/>
  <c r="E34"/>
  <c r="E17"/>
  <c r="F54" i="27" l="1"/>
  <c r="C128" i="39"/>
  <c r="H100" s="1"/>
  <c r="F26" i="29"/>
  <c r="D54" i="27"/>
  <c r="J54" s="1"/>
  <c r="E44"/>
  <c r="G43"/>
  <c r="D47" s="1"/>
  <c r="D78" i="1"/>
  <c r="J78" s="1"/>
  <c r="D71"/>
  <c r="J71" s="1"/>
  <c r="D65"/>
  <c r="C53"/>
  <c r="C52"/>
  <c r="C51"/>
  <c r="C54" s="1"/>
  <c r="F70" s="1"/>
  <c r="H71" s="1"/>
  <c r="F51" i="58"/>
  <c r="I51" s="1"/>
  <c r="K100" i="39" l="1"/>
  <c r="L49" i="58"/>
  <c r="O49" s="1"/>
  <c r="H104" i="39"/>
  <c r="K104" s="1"/>
  <c r="C41" i="27"/>
  <c r="K71" i="1"/>
  <c r="G64"/>
  <c r="H65" s="1"/>
  <c r="G77"/>
  <c r="H78" s="1"/>
  <c r="K78" s="1"/>
  <c r="G54"/>
  <c r="H55" s="1"/>
  <c r="E20" i="19"/>
  <c r="D59" i="14"/>
  <c r="I107" i="58"/>
  <c r="F70" i="14" s="1"/>
  <c r="I106" i="58"/>
  <c r="E32" i="14" s="1"/>
  <c r="D28"/>
  <c r="F37" i="24"/>
  <c r="F9" i="58"/>
  <c r="I9" s="1"/>
  <c r="F28" i="14" s="1"/>
  <c r="D27" i="23"/>
  <c r="I93" i="58"/>
  <c r="F18" i="54" s="1"/>
  <c r="I94" i="58"/>
  <c r="F27" i="54" s="1"/>
  <c r="I95" i="58"/>
  <c r="I96"/>
  <c r="I97"/>
  <c r="I98"/>
  <c r="F37" i="55" s="1"/>
  <c r="I99" i="58"/>
  <c r="I100"/>
  <c r="I101"/>
  <c r="I102"/>
  <c r="F32" i="24" s="1"/>
  <c r="I104" i="58"/>
  <c r="F25" i="25" s="1"/>
  <c r="E39" i="13"/>
  <c r="E38"/>
  <c r="E33"/>
  <c r="E32"/>
  <c r="E26"/>
  <c r="E25"/>
  <c r="E20"/>
  <c r="E19"/>
  <c r="E14"/>
  <c r="E13"/>
  <c r="E8"/>
  <c r="E7"/>
  <c r="F86" i="58"/>
  <c r="I86" s="1"/>
  <c r="F15" i="13" s="1"/>
  <c r="F87" i="58"/>
  <c r="I87" s="1"/>
  <c r="F21" i="13" s="1"/>
  <c r="F88" i="58"/>
  <c r="I88" s="1"/>
  <c r="F89"/>
  <c r="I89" s="1"/>
  <c r="F34" i="13" s="1"/>
  <c r="F90" i="58"/>
  <c r="I90" s="1"/>
  <c r="F91"/>
  <c r="I91" s="1"/>
  <c r="F92"/>
  <c r="I92" s="1"/>
  <c r="F85"/>
  <c r="I85" s="1"/>
  <c r="F9" i="13" s="1"/>
  <c r="I83" i="58"/>
  <c r="I84"/>
  <c r="E21" i="40"/>
  <c r="E20"/>
  <c r="F82" i="58"/>
  <c r="I82" s="1"/>
  <c r="F22" i="40" s="1"/>
  <c r="E7"/>
  <c r="E6"/>
  <c r="I81" i="58"/>
  <c r="F16" i="40" s="1"/>
  <c r="F80" i="58"/>
  <c r="I80" s="1"/>
  <c r="F10" i="40" s="1"/>
  <c r="F50" i="58"/>
  <c r="I50" s="1"/>
  <c r="E79" i="39"/>
  <c r="E78"/>
  <c r="E77"/>
  <c r="E58"/>
  <c r="E57"/>
  <c r="E56"/>
  <c r="E39"/>
  <c r="E38"/>
  <c r="E37"/>
  <c r="E23"/>
  <c r="E22"/>
  <c r="E21"/>
  <c r="D24"/>
  <c r="E16"/>
  <c r="E15"/>
  <c r="E14"/>
  <c r="E46" i="11"/>
  <c r="E45"/>
  <c r="F77" i="58"/>
  <c r="I77" s="1"/>
  <c r="E39" i="11"/>
  <c r="E38"/>
  <c r="F76" i="58"/>
  <c r="I76" s="1"/>
  <c r="F40" i="11" s="1"/>
  <c r="E33"/>
  <c r="E32"/>
  <c r="I69" i="58"/>
  <c r="O69" s="1"/>
  <c r="I70"/>
  <c r="O70" s="1"/>
  <c r="I71"/>
  <c r="O71" s="1"/>
  <c r="I72"/>
  <c r="O72" s="1"/>
  <c r="F75"/>
  <c r="I75" s="1"/>
  <c r="F34" i="11" s="1"/>
  <c r="E8"/>
  <c r="E7"/>
  <c r="O92" i="58" l="1"/>
  <c r="O100"/>
  <c r="F47" i="11"/>
  <c r="G46" i="27"/>
  <c r="H47" s="1"/>
  <c r="F53"/>
  <c r="H54" s="1"/>
  <c r="K54" s="1"/>
  <c r="D55" i="1"/>
  <c r="H59"/>
  <c r="E55"/>
  <c r="F27" i="55"/>
  <c r="F31"/>
  <c r="F33" i="54"/>
  <c r="F59" i="14"/>
  <c r="F18" i="55"/>
  <c r="F33" i="14"/>
  <c r="F27" i="24"/>
  <c r="F27" i="13"/>
  <c r="F40"/>
  <c r="E26" i="11"/>
  <c r="E25"/>
  <c r="E14"/>
  <c r="E13"/>
  <c r="F27" i="58"/>
  <c r="I27" s="1"/>
  <c r="G9" i="48"/>
  <c r="E23" i="37"/>
  <c r="F37" i="58"/>
  <c r="I37" s="1"/>
  <c r="F36" i="37" s="1"/>
  <c r="J36" s="1"/>
  <c r="K36" s="1"/>
  <c r="E47"/>
  <c r="E46"/>
  <c r="E41"/>
  <c r="E40"/>
  <c r="D48"/>
  <c r="D42"/>
  <c r="C40"/>
  <c r="C39"/>
  <c r="F34" i="58"/>
  <c r="I34" s="1"/>
  <c r="F33"/>
  <c r="I33" s="1"/>
  <c r="E7" i="16"/>
  <c r="E39"/>
  <c r="E38"/>
  <c r="E6"/>
  <c r="C43" i="37" l="1"/>
  <c r="H42" s="1"/>
  <c r="L33" i="58" s="1"/>
  <c r="J55" i="1"/>
  <c r="K55" s="1"/>
  <c r="E59"/>
  <c r="J59" s="1"/>
  <c r="K59" s="1"/>
  <c r="F48" i="37"/>
  <c r="J48" s="1"/>
  <c r="F42"/>
  <c r="J42" s="1"/>
  <c r="D20" i="2"/>
  <c r="E19"/>
  <c r="E18"/>
  <c r="E17"/>
  <c r="H48" i="37" l="1"/>
  <c r="K42"/>
  <c r="F105" i="58"/>
  <c r="I105" s="1"/>
  <c r="F32"/>
  <c r="I32" s="1"/>
  <c r="F54"/>
  <c r="F41"/>
  <c r="K48" i="37" l="1"/>
  <c r="L34" i="58"/>
  <c r="I41"/>
  <c r="I54"/>
  <c r="I60"/>
  <c r="E27" i="2"/>
  <c r="E26"/>
  <c r="E25"/>
  <c r="E44"/>
  <c r="E43"/>
  <c r="E42"/>
  <c r="E54"/>
  <c r="E53"/>
  <c r="E52"/>
  <c r="F15" i="58"/>
  <c r="I15" s="1"/>
  <c r="F55" i="2" s="1"/>
  <c r="F16" i="58"/>
  <c r="I16" s="1"/>
  <c r="F14"/>
  <c r="I14" s="1"/>
  <c r="F28" i="2" l="1"/>
  <c r="E65" l="1"/>
  <c r="E64"/>
  <c r="E11"/>
  <c r="D11" i="29"/>
  <c r="D15"/>
  <c r="D26"/>
  <c r="D22"/>
  <c r="E11" i="27"/>
  <c r="I57" i="58"/>
  <c r="I58"/>
  <c r="I59"/>
  <c r="F13" i="37" s="1"/>
  <c r="I61" i="58"/>
  <c r="F63"/>
  <c r="I63" s="1"/>
  <c r="F13" i="34" s="1"/>
  <c r="F64" i="58"/>
  <c r="I64" s="1"/>
  <c r="F17" i="34" s="1"/>
  <c r="F65" i="58"/>
  <c r="I65" s="1"/>
  <c r="F21" i="34" s="1"/>
  <c r="F66" i="58"/>
  <c r="I66" s="1"/>
  <c r="F25" i="34" s="1"/>
  <c r="I68" i="58"/>
  <c r="F62"/>
  <c r="I62" s="1"/>
  <c r="F9" i="34" s="1"/>
  <c r="F52" i="58"/>
  <c r="I52" s="1"/>
  <c r="F55"/>
  <c r="I55" s="1"/>
  <c r="F56"/>
  <c r="I56" s="1"/>
  <c r="O56" s="1"/>
  <c r="F53"/>
  <c r="I53" s="1"/>
  <c r="F40"/>
  <c r="I40" s="1"/>
  <c r="F42"/>
  <c r="I42" s="1"/>
  <c r="F43"/>
  <c r="I43" s="1"/>
  <c r="F44"/>
  <c r="I44" s="1"/>
  <c r="F45"/>
  <c r="I45" s="1"/>
  <c r="F46"/>
  <c r="I46" s="1"/>
  <c r="F47"/>
  <c r="I47" s="1"/>
  <c r="F48"/>
  <c r="I48" s="1"/>
  <c r="F38"/>
  <c r="I38" s="1"/>
  <c r="I11"/>
  <c r="I12"/>
  <c r="I13"/>
  <c r="I10"/>
  <c r="E42" i="27" s="1"/>
  <c r="F47" s="1"/>
  <c r="J47" s="1"/>
  <c r="K47" s="1"/>
  <c r="F8" i="58"/>
  <c r="F7"/>
  <c r="F6"/>
  <c r="I6" s="1"/>
  <c r="F65" i="14" s="1"/>
  <c r="J65" s="1"/>
  <c r="F5" i="58"/>
  <c r="I5" s="1"/>
  <c r="F18"/>
  <c r="I18" s="1"/>
  <c r="F14" i="16" s="1"/>
  <c r="J14" s="1"/>
  <c r="K14" s="1"/>
  <c r="F19" i="58"/>
  <c r="I19" s="1"/>
  <c r="F20"/>
  <c r="I20" s="1"/>
  <c r="F21"/>
  <c r="I21" s="1"/>
  <c r="F7" i="37" s="1"/>
  <c r="F22" i="58"/>
  <c r="I22" s="1"/>
  <c r="F23"/>
  <c r="I23" s="1"/>
  <c r="F24"/>
  <c r="I24" s="1"/>
  <c r="F25"/>
  <c r="I25" s="1"/>
  <c r="F26"/>
  <c r="I26" s="1"/>
  <c r="F28"/>
  <c r="I28" s="1"/>
  <c r="F29"/>
  <c r="I29" s="1"/>
  <c r="F30"/>
  <c r="I30" s="1"/>
  <c r="F31"/>
  <c r="I31" s="1"/>
  <c r="F17"/>
  <c r="I17" s="1"/>
  <c r="F53" i="14" l="1"/>
  <c r="F37" i="21"/>
  <c r="J37" s="1"/>
  <c r="K37" s="1"/>
  <c r="F22" i="29"/>
  <c r="J22" s="1"/>
  <c r="F18" i="37"/>
  <c r="E9" i="2"/>
  <c r="F40" i="16"/>
  <c r="F40" i="39"/>
  <c r="E9" i="27"/>
  <c r="F15" i="11"/>
  <c r="F24" i="39"/>
  <c r="J24" s="1"/>
  <c r="F21" i="25"/>
  <c r="F22" i="14"/>
  <c r="F22" i="55"/>
  <c r="F22" i="54"/>
  <c r="F21" i="24"/>
  <c r="F21" i="23"/>
  <c r="F17" i="39"/>
  <c r="F80"/>
  <c r="F59"/>
  <c r="F9" i="11"/>
  <c r="F27"/>
  <c r="F20" i="2"/>
  <c r="J20" s="1"/>
  <c r="F34" i="16"/>
  <c r="F29"/>
  <c r="F24"/>
  <c r="F8"/>
  <c r="F66" i="2"/>
  <c r="F20" i="16" l="1"/>
  <c r="D53" i="14"/>
  <c r="J53" s="1"/>
  <c r="D22"/>
  <c r="J22" s="1"/>
  <c r="D21" i="25"/>
  <c r="J21" s="1"/>
  <c r="D21" i="24"/>
  <c r="J21" s="1"/>
  <c r="D21" i="23"/>
  <c r="J21" s="1"/>
  <c r="B9" i="52" l="1"/>
  <c r="E7"/>
  <c r="E6"/>
  <c r="E9" l="1"/>
  <c r="C42" i="55"/>
  <c r="H42" s="1"/>
  <c r="C37"/>
  <c r="H37" s="1"/>
  <c r="C31"/>
  <c r="H31" s="1"/>
  <c r="O95" i="58" s="1"/>
  <c r="C27" i="55"/>
  <c r="H27" s="1"/>
  <c r="C7"/>
  <c r="C6"/>
  <c r="C5"/>
  <c r="C33" i="54"/>
  <c r="H33" s="1"/>
  <c r="O97" i="58"/>
  <c r="O96"/>
  <c r="C27" i="54"/>
  <c r="H27" s="1"/>
  <c r="C13"/>
  <c r="C12"/>
  <c r="C11"/>
  <c r="C10"/>
  <c r="C9"/>
  <c r="C8"/>
  <c r="C7"/>
  <c r="C6"/>
  <c r="C5"/>
  <c r="L98" i="58" l="1"/>
  <c r="O98" s="1"/>
  <c r="C15" i="55"/>
  <c r="B21" s="1"/>
  <c r="C21" s="1"/>
  <c r="H22" s="1"/>
  <c r="O94" i="58"/>
  <c r="C15" i="54"/>
  <c r="H13" s="1"/>
  <c r="E13" s="1"/>
  <c r="J13" s="1"/>
  <c r="K13" s="1"/>
  <c r="H18" l="1"/>
  <c r="B21"/>
  <c r="C21" s="1"/>
  <c r="H22" s="1"/>
  <c r="H18" i="55"/>
  <c r="H9" i="54"/>
  <c r="H13" i="55"/>
  <c r="E13" s="1"/>
  <c r="J13" s="1"/>
  <c r="K13" s="1"/>
  <c r="H9"/>
  <c r="L93" i="58" l="1"/>
  <c r="G62" i="54"/>
  <c r="G21" i="17" s="1"/>
  <c r="F62" i="54"/>
  <c r="F21" i="17" s="1"/>
  <c r="G62" i="55"/>
  <c r="G22" i="17" s="1"/>
  <c r="F62" i="55"/>
  <c r="F22" i="17" s="1"/>
  <c r="B103" i="52"/>
  <c r="E101"/>
  <c r="E100"/>
  <c r="B88"/>
  <c r="E86"/>
  <c r="E85"/>
  <c r="B73"/>
  <c r="E71"/>
  <c r="E70"/>
  <c r="B58"/>
  <c r="E58" s="1"/>
  <c r="E56"/>
  <c r="E55"/>
  <c r="E18" i="53"/>
  <c r="E22" i="52"/>
  <c r="E21"/>
  <c r="B24"/>
  <c r="G10" i="27"/>
  <c r="D55" i="2"/>
  <c r="D45"/>
  <c r="E39" i="52"/>
  <c r="D28" i="2"/>
  <c r="B42" i="52"/>
  <c r="F14" i="27" l="1"/>
  <c r="E25" i="25"/>
  <c r="E29"/>
  <c r="E9" i="55"/>
  <c r="E9" i="54"/>
  <c r="E62" s="1"/>
  <c r="E21" i="17" s="1"/>
  <c r="D22" i="40"/>
  <c r="D16"/>
  <c r="D10"/>
  <c r="D96" i="2"/>
  <c r="D41" i="1"/>
  <c r="D48"/>
  <c r="D9" i="54"/>
  <c r="E103" i="52"/>
  <c r="E88"/>
  <c r="E24"/>
  <c r="E73"/>
  <c r="D25" i="34"/>
  <c r="D8" i="33"/>
  <c r="D21" i="34"/>
  <c r="D12" i="33"/>
  <c r="D9" i="34"/>
  <c r="D13"/>
  <c r="D6" i="1"/>
  <c r="D17" i="34"/>
  <c r="D35" i="27"/>
  <c r="D21"/>
  <c r="D14"/>
  <c r="D28" s="1"/>
  <c r="D66" i="2"/>
  <c r="D77"/>
  <c r="G10"/>
  <c r="D12" l="1"/>
  <c r="F12"/>
  <c r="J9" i="55"/>
  <c r="K9" s="1"/>
  <c r="E62"/>
  <c r="E22" i="17" s="1"/>
  <c r="D24" i="16"/>
  <c r="D8"/>
  <c r="D27" i="13"/>
  <c r="D20" i="16"/>
  <c r="D40" i="13"/>
  <c r="D34" i="16"/>
  <c r="D34" i="13"/>
  <c r="D24" i="37"/>
  <c r="D9" i="13"/>
  <c r="D7" i="37"/>
  <c r="D29" i="16"/>
  <c r="D21" i="13"/>
  <c r="D13" i="37"/>
  <c r="D15" i="13"/>
  <c r="D18" i="37"/>
  <c r="D40" i="16"/>
  <c r="J9" i="54"/>
  <c r="K9" s="1"/>
  <c r="D17" i="21"/>
  <c r="D70" i="14"/>
  <c r="D46" i="24"/>
  <c r="D32"/>
  <c r="D35" i="1"/>
  <c r="D33" i="14"/>
  <c r="D25" i="25"/>
  <c r="D13" i="21"/>
  <c r="D29" i="25"/>
  <c r="D37" i="24"/>
  <c r="D27"/>
  <c r="D33" i="54"/>
  <c r="J33" s="1"/>
  <c r="K33" s="1"/>
  <c r="D39" i="23"/>
  <c r="D31" i="55"/>
  <c r="J31" s="1"/>
  <c r="K31" s="1"/>
  <c r="D37"/>
  <c r="J37" s="1"/>
  <c r="K37" s="1"/>
  <c r="D27"/>
  <c r="J27" s="1"/>
  <c r="K27" s="1"/>
  <c r="D22"/>
  <c r="J22" s="1"/>
  <c r="K22" s="1"/>
  <c r="D27" i="54"/>
  <c r="J27" s="1"/>
  <c r="K27" s="1"/>
  <c r="D18" i="55"/>
  <c r="D22" i="54"/>
  <c r="J22" s="1"/>
  <c r="K22" s="1"/>
  <c r="D42" i="55"/>
  <c r="J42" s="1"/>
  <c r="K42" s="1"/>
  <c r="D18" i="54"/>
  <c r="J18" s="1"/>
  <c r="K18" s="1"/>
  <c r="D40" i="11"/>
  <c r="D27"/>
  <c r="D15"/>
  <c r="D51"/>
  <c r="D34"/>
  <c r="D80" i="39"/>
  <c r="D9" i="11"/>
  <c r="D59" i="39"/>
  <c r="D55" i="11"/>
  <c r="D40" i="39"/>
  <c r="D47" i="11"/>
  <c r="D17" i="39"/>
  <c r="J14" i="27"/>
  <c r="D62" i="54" l="1"/>
  <c r="H62" s="1"/>
  <c r="K62"/>
  <c r="K21" i="17" s="1"/>
  <c r="F28" i="27"/>
  <c r="J18" i="55"/>
  <c r="K18" s="1"/>
  <c r="K62" s="1"/>
  <c r="K22" i="17" s="1"/>
  <c r="D62" i="55"/>
  <c r="D21" i="17" l="1"/>
  <c r="K63" i="54"/>
  <c r="O32" i="58"/>
  <c r="O17"/>
  <c r="D22" i="17"/>
  <c r="H62" i="55"/>
  <c r="K63" s="1"/>
  <c r="O41" i="58" l="1"/>
  <c r="J30" i="17" l="1"/>
  <c r="G41" i="20" s="1"/>
  <c r="C51" i="11"/>
  <c r="H51" s="1"/>
  <c r="C55"/>
  <c r="H55" s="1"/>
  <c r="J44" i="48"/>
  <c r="C44"/>
  <c r="H44" s="1"/>
  <c r="J39"/>
  <c r="C39"/>
  <c r="C38"/>
  <c r="C40" s="1"/>
  <c r="J35"/>
  <c r="C32"/>
  <c r="J29"/>
  <c r="C26"/>
  <c r="J22"/>
  <c r="C21"/>
  <c r="C20"/>
  <c r="J15"/>
  <c r="C15"/>
  <c r="C14"/>
  <c r="J9"/>
  <c r="C7"/>
  <c r="C5"/>
  <c r="J59" i="14"/>
  <c r="C38"/>
  <c r="C36"/>
  <c r="C44" l="1"/>
  <c r="F64" s="1"/>
  <c r="H65" s="1"/>
  <c r="I78" i="58"/>
  <c r="F51" i="11" s="1"/>
  <c r="J51" s="1"/>
  <c r="K51" s="1"/>
  <c r="L78" i="58"/>
  <c r="I79"/>
  <c r="F55" i="11" s="1"/>
  <c r="J55" s="1"/>
  <c r="K55" s="1"/>
  <c r="L79" i="58"/>
  <c r="C23" i="48"/>
  <c r="H22" s="1"/>
  <c r="K22" s="1"/>
  <c r="C27"/>
  <c r="H29" s="1"/>
  <c r="K29" s="1"/>
  <c r="C17"/>
  <c r="H15" s="1"/>
  <c r="K15" s="1"/>
  <c r="C11"/>
  <c r="H9" s="1"/>
  <c r="I74" i="58"/>
  <c r="O74" s="1"/>
  <c r="H39" i="48"/>
  <c r="K39" s="1"/>
  <c r="C33"/>
  <c r="H35" s="1"/>
  <c r="K35" s="1"/>
  <c r="K44"/>
  <c r="O84" i="58"/>
  <c r="C21" i="18" l="1"/>
  <c r="K65" i="14"/>
  <c r="L6" i="58"/>
  <c r="O79"/>
  <c r="O78"/>
  <c r="O83"/>
  <c r="F52" i="14"/>
  <c r="H53" s="1"/>
  <c r="K53" s="1"/>
  <c r="F58"/>
  <c r="H59" s="1"/>
  <c r="K9" i="48"/>
  <c r="F39" i="14"/>
  <c r="H40" s="1"/>
  <c r="F45"/>
  <c r="H46" s="1"/>
  <c r="E62" i="48"/>
  <c r="E14" i="17" s="1"/>
  <c r="G62" i="48"/>
  <c r="G14" i="17" s="1"/>
  <c r="F62" i="48"/>
  <c r="F14" i="17" s="1"/>
  <c r="D62" i="48"/>
  <c r="D14" i="17" s="1"/>
  <c r="O93" i="58" l="1"/>
  <c r="K59" i="14"/>
  <c r="O6" i="58"/>
  <c r="K62" i="48"/>
  <c r="K14" i="17" s="1"/>
  <c r="E46" i="14"/>
  <c r="D46"/>
  <c r="E40"/>
  <c r="D40"/>
  <c r="H62" i="48"/>
  <c r="J40" i="14" l="1"/>
  <c r="K40" s="1"/>
  <c r="K63" i="48"/>
  <c r="J46" i="14"/>
  <c r="K46" s="1"/>
  <c r="C46" i="41" l="1"/>
  <c r="J35"/>
  <c r="J14"/>
  <c r="C62"/>
  <c r="C60"/>
  <c r="C58"/>
  <c r="C56"/>
  <c r="C54"/>
  <c r="J52"/>
  <c r="C52"/>
  <c r="C50"/>
  <c r="J29"/>
  <c r="C29"/>
  <c r="H29" s="1"/>
  <c r="J24"/>
  <c r="C24"/>
  <c r="H24" s="1"/>
  <c r="J20"/>
  <c r="C19"/>
  <c r="J8"/>
  <c r="C6"/>
  <c r="C5"/>
  <c r="C7" l="1"/>
  <c r="F13" s="1"/>
  <c r="C64"/>
  <c r="H52" s="1"/>
  <c r="K52" s="1"/>
  <c r="C41"/>
  <c r="C47" s="1"/>
  <c r="H35" s="1"/>
  <c r="K35" s="1"/>
  <c r="K24"/>
  <c r="K29"/>
  <c r="H8" l="1"/>
  <c r="H20"/>
  <c r="K20" s="1"/>
  <c r="H14"/>
  <c r="K14" s="1"/>
  <c r="K8" l="1"/>
  <c r="K126" s="1"/>
  <c r="K18" i="17" s="1"/>
  <c r="C29" i="18"/>
  <c r="G126" i="41"/>
  <c r="G18" i="17" s="1"/>
  <c r="D126" i="41"/>
  <c r="D18" i="17" s="1"/>
  <c r="E126" i="41"/>
  <c r="E18" i="17" s="1"/>
  <c r="F126" i="41"/>
  <c r="F18" i="17" s="1"/>
  <c r="H126" i="41" l="1"/>
  <c r="K127" s="1"/>
  <c r="C27" i="40"/>
  <c r="C26"/>
  <c r="C25"/>
  <c r="C24"/>
  <c r="J80" i="39"/>
  <c r="J73"/>
  <c r="C68"/>
  <c r="J67"/>
  <c r="C66"/>
  <c r="C64"/>
  <c r="C30" i="40"/>
  <c r="C29"/>
  <c r="C33" s="1"/>
  <c r="C23"/>
  <c r="C22"/>
  <c r="C21"/>
  <c r="J22"/>
  <c r="C20"/>
  <c r="C19"/>
  <c r="J16"/>
  <c r="C16"/>
  <c r="H16" s="1"/>
  <c r="L81" i="58" s="1"/>
  <c r="O81" s="1"/>
  <c r="J10" i="40"/>
  <c r="C7"/>
  <c r="C27" i="11"/>
  <c r="J27"/>
  <c r="C26"/>
  <c r="C25"/>
  <c r="C24"/>
  <c r="C20"/>
  <c r="C19"/>
  <c r="C18"/>
  <c r="C17"/>
  <c r="C16"/>
  <c r="J138" i="39"/>
  <c r="J134"/>
  <c r="C90"/>
  <c r="C87"/>
  <c r="C85"/>
  <c r="J84"/>
  <c r="C83"/>
  <c r="J59"/>
  <c r="J52"/>
  <c r="C58"/>
  <c r="C60" s="1"/>
  <c r="C49"/>
  <c r="C47"/>
  <c r="J46"/>
  <c r="C45"/>
  <c r="C43"/>
  <c r="J40"/>
  <c r="J33"/>
  <c r="J29"/>
  <c r="C29"/>
  <c r="C27"/>
  <c r="J17"/>
  <c r="J10"/>
  <c r="C7"/>
  <c r="J6"/>
  <c r="C5"/>
  <c r="J24" i="37"/>
  <c r="C24"/>
  <c r="H24" s="1"/>
  <c r="L37" i="58" s="1"/>
  <c r="O37" s="1"/>
  <c r="J18" i="37"/>
  <c r="C18"/>
  <c r="H18" s="1"/>
  <c r="J13"/>
  <c r="C13"/>
  <c r="H13" s="1"/>
  <c r="L59" i="58" s="1"/>
  <c r="J7" i="37"/>
  <c r="C6"/>
  <c r="C5"/>
  <c r="C8" l="1"/>
  <c r="H7" s="1"/>
  <c r="C11" i="39"/>
  <c r="C70"/>
  <c r="H80" s="1"/>
  <c r="K80" s="1"/>
  <c r="C28" i="40"/>
  <c r="C57" i="39"/>
  <c r="C61" s="1"/>
  <c r="C89"/>
  <c r="C141"/>
  <c r="H138" s="1"/>
  <c r="L60" i="58" s="1"/>
  <c r="C31" i="39"/>
  <c r="H40" s="1"/>
  <c r="L47" i="58" s="1"/>
  <c r="O47" s="1"/>
  <c r="C92" i="39"/>
  <c r="C28" i="11"/>
  <c r="H27" s="1"/>
  <c r="K24" i="37"/>
  <c r="F9" i="40"/>
  <c r="H10" s="1"/>
  <c r="L80" i="58" s="1"/>
  <c r="O80" s="1"/>
  <c r="K16" i="40"/>
  <c r="K13" i="37"/>
  <c r="K18"/>
  <c r="K7" l="1"/>
  <c r="K61" s="1"/>
  <c r="K13" i="17" s="1"/>
  <c r="L21" i="58"/>
  <c r="K138" i="39"/>
  <c r="O60" i="58"/>
  <c r="O46"/>
  <c r="O42"/>
  <c r="K27" i="11"/>
  <c r="L30" i="58"/>
  <c r="O30" s="1"/>
  <c r="C34" i="40"/>
  <c r="H22" s="1"/>
  <c r="K10"/>
  <c r="H17" i="39"/>
  <c r="L43" i="58" s="1"/>
  <c r="O43" s="1"/>
  <c r="H24" i="39"/>
  <c r="K40"/>
  <c r="F133"/>
  <c r="H134" s="1"/>
  <c r="K134" s="1"/>
  <c r="H33"/>
  <c r="K33" s="1"/>
  <c r="H29"/>
  <c r="K29" s="1"/>
  <c r="F72"/>
  <c r="H73" s="1"/>
  <c r="K73" s="1"/>
  <c r="F66"/>
  <c r="H67" s="1"/>
  <c r="K67" s="1"/>
  <c r="H6"/>
  <c r="C93"/>
  <c r="H84" s="1"/>
  <c r="K84" s="1"/>
  <c r="F45"/>
  <c r="H46" s="1"/>
  <c r="F51"/>
  <c r="H52" s="1"/>
  <c r="K52" s="1"/>
  <c r="H59"/>
  <c r="L48" i="58" s="1"/>
  <c r="O48" s="1"/>
  <c r="H10" i="39"/>
  <c r="K10" s="1"/>
  <c r="D61" i="37"/>
  <c r="F61"/>
  <c r="F13" i="17" s="1"/>
  <c r="G61" i="37"/>
  <c r="G13" i="17" s="1"/>
  <c r="E61" i="37"/>
  <c r="E13" i="17" s="1"/>
  <c r="C25" i="18" l="1"/>
  <c r="D13" i="17"/>
  <c r="K22" i="40"/>
  <c r="K62" s="1"/>
  <c r="K17" i="17" s="1"/>
  <c r="L82" i="58"/>
  <c r="O82" s="1"/>
  <c r="O51"/>
  <c r="O50"/>
  <c r="K59" i="39"/>
  <c r="O45" i="58"/>
  <c r="K24" i="39"/>
  <c r="L44" i="58"/>
  <c r="O44" s="1"/>
  <c r="K17" i="39"/>
  <c r="O34" i="58"/>
  <c r="O33"/>
  <c r="O20"/>
  <c r="O19"/>
  <c r="G62" i="40"/>
  <c r="G17" i="17" s="1"/>
  <c r="F62" i="40"/>
  <c r="F17" i="17" s="1"/>
  <c r="E62" i="40"/>
  <c r="E17" i="17" s="1"/>
  <c r="D62" i="40"/>
  <c r="B105" i="52" s="1"/>
  <c r="K6" i="39"/>
  <c r="F189"/>
  <c r="F16" i="17" s="1"/>
  <c r="K46" i="39"/>
  <c r="D189"/>
  <c r="E189"/>
  <c r="E16" i="17" s="1"/>
  <c r="G189" i="39"/>
  <c r="G16" i="17" s="1"/>
  <c r="H61" i="37"/>
  <c r="K62" s="1"/>
  <c r="D17" i="17" l="1"/>
  <c r="H62" i="40"/>
  <c r="K63" s="1"/>
  <c r="K189" i="39"/>
  <c r="K16" i="17" s="1"/>
  <c r="D16"/>
  <c r="B108" i="52"/>
  <c r="I110" s="1"/>
  <c r="E105"/>
  <c r="H189" i="39"/>
  <c r="K190" l="1"/>
  <c r="B110" i="52"/>
  <c r="J25" i="34"/>
  <c r="C25"/>
  <c r="H25" s="1"/>
  <c r="L66" i="58" s="1"/>
  <c r="O66" s="1"/>
  <c r="J21" i="34"/>
  <c r="C21"/>
  <c r="H21" s="1"/>
  <c r="L65" i="58" s="1"/>
  <c r="O65" s="1"/>
  <c r="J17" i="34"/>
  <c r="C17"/>
  <c r="H17" s="1"/>
  <c r="L64" i="58" s="1"/>
  <c r="O64" s="1"/>
  <c r="J13" i="34"/>
  <c r="C13"/>
  <c r="H13" s="1"/>
  <c r="L63" i="58" s="1"/>
  <c r="O63" s="1"/>
  <c r="J9" i="34"/>
  <c r="C9"/>
  <c r="H9" s="1"/>
  <c r="L62" i="58" s="1"/>
  <c r="O62" s="1"/>
  <c r="C69" i="2"/>
  <c r="C68"/>
  <c r="C67"/>
  <c r="C66"/>
  <c r="C65"/>
  <c r="C64"/>
  <c r="J12" i="33"/>
  <c r="C12"/>
  <c r="H12" s="1"/>
  <c r="J8"/>
  <c r="C8"/>
  <c r="H8" s="1"/>
  <c r="J36" i="29"/>
  <c r="J32"/>
  <c r="J26"/>
  <c r="J15"/>
  <c r="J11"/>
  <c r="J7"/>
  <c r="C7"/>
  <c r="C5"/>
  <c r="C11" s="1"/>
  <c r="J35" i="27"/>
  <c r="J28"/>
  <c r="I73" i="58" l="1"/>
  <c r="O73" s="1"/>
  <c r="H36" i="29"/>
  <c r="K36" s="1"/>
  <c r="H22"/>
  <c r="C7" i="27"/>
  <c r="F34" s="1"/>
  <c r="H35" s="1"/>
  <c r="K21" i="34"/>
  <c r="K13"/>
  <c r="K25"/>
  <c r="K17"/>
  <c r="K9"/>
  <c r="K12" i="33"/>
  <c r="K8"/>
  <c r="H11" i="29"/>
  <c r="H32"/>
  <c r="H26"/>
  <c r="H7"/>
  <c r="H15"/>
  <c r="C9" i="18" l="1"/>
  <c r="K26" i="29"/>
  <c r="L111" i="58"/>
  <c r="O111" s="1"/>
  <c r="K15" i="29"/>
  <c r="L110" i="58"/>
  <c r="K11" i="29"/>
  <c r="L109" i="58"/>
  <c r="O109" s="1"/>
  <c r="K22" i="29"/>
  <c r="L38" i="58"/>
  <c r="O38" s="1"/>
  <c r="L108"/>
  <c r="O108" s="1"/>
  <c r="I8"/>
  <c r="O8" s="1"/>
  <c r="K32" i="29"/>
  <c r="C5" i="18"/>
  <c r="K35" i="27"/>
  <c r="G13"/>
  <c r="H14" s="1"/>
  <c r="L10" i="58" s="1"/>
  <c r="F27" i="27"/>
  <c r="H28" s="1"/>
  <c r="F20"/>
  <c r="H21" s="1"/>
  <c r="F61" i="29"/>
  <c r="F7" i="17" s="1"/>
  <c r="K7" i="29"/>
  <c r="E61"/>
  <c r="E7" i="17" s="1"/>
  <c r="G61" i="29"/>
  <c r="G7" i="17" s="1"/>
  <c r="D61" i="29"/>
  <c r="D7" i="17" l="1"/>
  <c r="F21" i="27"/>
  <c r="J21" s="1"/>
  <c r="K21" s="1"/>
  <c r="K28"/>
  <c r="K14"/>
  <c r="O10" i="58"/>
  <c r="K61" i="29"/>
  <c r="K7" i="17" s="1"/>
  <c r="G62" i="34"/>
  <c r="G10" i="17" s="1"/>
  <c r="D62" i="34"/>
  <c r="D10" i="17" s="1"/>
  <c r="F62" i="34"/>
  <c r="F10" i="17" s="1"/>
  <c r="E62" i="34"/>
  <c r="E10" i="17" s="1"/>
  <c r="K62" i="34"/>
  <c r="K10" i="17" s="1"/>
  <c r="F62" i="33"/>
  <c r="F9" i="17" s="1"/>
  <c r="K62" i="33"/>
  <c r="K9" i="17" s="1"/>
  <c r="G62" i="33"/>
  <c r="G9" i="17" s="1"/>
  <c r="D62" i="33"/>
  <c r="E62"/>
  <c r="E9" i="17" s="1"/>
  <c r="H61" i="29"/>
  <c r="K62" l="1"/>
  <c r="D9" i="17"/>
  <c r="H62" i="34"/>
  <c r="K63" s="1"/>
  <c r="H62" i="33"/>
  <c r="K63" s="1"/>
  <c r="K62" i="27"/>
  <c r="K6" i="17" s="1"/>
  <c r="G62" i="27"/>
  <c r="G6" i="17" s="1"/>
  <c r="F62" i="27"/>
  <c r="F6" i="17" s="1"/>
  <c r="E62" i="27"/>
  <c r="E6" i="17" s="1"/>
  <c r="D62" i="27"/>
  <c r="D6" i="17" s="1"/>
  <c r="H62" i="27" l="1"/>
  <c r="K63" s="1"/>
  <c r="J47" i="11"/>
  <c r="C47"/>
  <c r="H47" s="1"/>
  <c r="L77" i="58" s="1"/>
  <c r="O77" s="1"/>
  <c r="B53" i="53" l="1"/>
  <c r="H55" s="1"/>
  <c r="E50"/>
  <c r="O55" i="58"/>
  <c r="K47" i="11"/>
  <c r="B55" i="53" l="1"/>
  <c r="O27" i="58"/>
  <c r="O54" l="1"/>
  <c r="O13"/>
  <c r="J29" i="25" l="1"/>
  <c r="C28"/>
  <c r="J25"/>
  <c r="C25"/>
  <c r="H25" s="1"/>
  <c r="L104" i="58" s="1"/>
  <c r="O104" s="1"/>
  <c r="C5" i="25"/>
  <c r="C7" s="1"/>
  <c r="F13" s="1"/>
  <c r="H14" s="1"/>
  <c r="E14" s="1"/>
  <c r="J14" s="1"/>
  <c r="K14" s="1"/>
  <c r="J46" i="24"/>
  <c r="C44"/>
  <c r="C46" s="1"/>
  <c r="J37"/>
  <c r="C37"/>
  <c r="H46" s="1"/>
  <c r="C35"/>
  <c r="J32"/>
  <c r="C32"/>
  <c r="J27"/>
  <c r="C5"/>
  <c r="C7" s="1"/>
  <c r="F13" s="1"/>
  <c r="O101" i="58"/>
  <c r="C39" i="23"/>
  <c r="C42" s="1"/>
  <c r="C35"/>
  <c r="C38" s="1"/>
  <c r="J32"/>
  <c r="C32"/>
  <c r="H32" s="1"/>
  <c r="C5"/>
  <c r="F13" s="1"/>
  <c r="H14" s="1"/>
  <c r="E14" s="1"/>
  <c r="J70" i="14"/>
  <c r="C69"/>
  <c r="C68"/>
  <c r="J17" i="21"/>
  <c r="C16"/>
  <c r="J13"/>
  <c r="C12"/>
  <c r="C8"/>
  <c r="C7"/>
  <c r="C6"/>
  <c r="C5"/>
  <c r="H14" i="24" l="1"/>
  <c r="E14" s="1"/>
  <c r="J14" s="1"/>
  <c r="K14" s="1"/>
  <c r="L99" i="58"/>
  <c r="O99" s="1"/>
  <c r="L103"/>
  <c r="O103" s="1"/>
  <c r="C75" i="14"/>
  <c r="H70" s="1"/>
  <c r="C41" i="24"/>
  <c r="H37" s="1"/>
  <c r="L112" i="58" s="1"/>
  <c r="O112" s="1"/>
  <c r="C30" i="25"/>
  <c r="H29" s="1"/>
  <c r="K29" s="1"/>
  <c r="F20"/>
  <c r="H21" s="1"/>
  <c r="K21" s="1"/>
  <c r="F26" i="23"/>
  <c r="H27" s="1"/>
  <c r="F20"/>
  <c r="H21" s="1"/>
  <c r="K21" s="1"/>
  <c r="F20" i="24"/>
  <c r="H21" s="1"/>
  <c r="F26"/>
  <c r="H27" s="1"/>
  <c r="K27" s="1"/>
  <c r="C9" i="21"/>
  <c r="H9" s="1"/>
  <c r="E9" s="1"/>
  <c r="C13"/>
  <c r="H13" s="1"/>
  <c r="C17"/>
  <c r="H17" s="1"/>
  <c r="F7" i="25"/>
  <c r="H8" s="1"/>
  <c r="K25"/>
  <c r="K46" i="24"/>
  <c r="F7"/>
  <c r="H32"/>
  <c r="K32" i="23"/>
  <c r="C43"/>
  <c r="F38" s="1"/>
  <c r="H39" s="1"/>
  <c r="F7"/>
  <c r="G10" i="19"/>
  <c r="G11"/>
  <c r="G12"/>
  <c r="G13"/>
  <c r="G14"/>
  <c r="G15"/>
  <c r="G16"/>
  <c r="G17"/>
  <c r="G18"/>
  <c r="G20"/>
  <c r="G21"/>
  <c r="G24"/>
  <c r="G29"/>
  <c r="G32"/>
  <c r="G34"/>
  <c r="G35"/>
  <c r="G36"/>
  <c r="G37"/>
  <c r="G38"/>
  <c r="G39"/>
  <c r="G40"/>
  <c r="G41"/>
  <c r="G42"/>
  <c r="G43"/>
  <c r="G44"/>
  <c r="C37" i="18"/>
  <c r="C33"/>
  <c r="J82" i="14"/>
  <c r="C78"/>
  <c r="J33"/>
  <c r="J28"/>
  <c r="C7"/>
  <c r="C5"/>
  <c r="E62" i="12"/>
  <c r="E19" i="17" s="1"/>
  <c r="F62" i="12"/>
  <c r="F19" i="17" s="1"/>
  <c r="G62" i="12"/>
  <c r="G19" i="17" s="1"/>
  <c r="D62" i="12"/>
  <c r="D19" i="17" s="1"/>
  <c r="O91" i="58"/>
  <c r="J40" i="13"/>
  <c r="C40"/>
  <c r="H40" s="1"/>
  <c r="L90" i="58" s="1"/>
  <c r="O90" s="1"/>
  <c r="J34" i="13"/>
  <c r="C31"/>
  <c r="C30"/>
  <c r="C32" s="1"/>
  <c r="J27"/>
  <c r="C27"/>
  <c r="H27" s="1"/>
  <c r="J21"/>
  <c r="C21"/>
  <c r="H21" s="1"/>
  <c r="L87" i="58" s="1"/>
  <c r="O87" s="1"/>
  <c r="J15" i="13"/>
  <c r="C15"/>
  <c r="H15" s="1"/>
  <c r="L86" i="58" s="1"/>
  <c r="O86" s="1"/>
  <c r="J9" i="13"/>
  <c r="C6"/>
  <c r="C5"/>
  <c r="J21" i="12"/>
  <c r="K21" s="1"/>
  <c r="J14"/>
  <c r="K14" s="1"/>
  <c r="K7"/>
  <c r="K62" s="1"/>
  <c r="K19" i="17" s="1"/>
  <c r="J7" i="12"/>
  <c r="J40" i="11"/>
  <c r="C38"/>
  <c r="C37"/>
  <c r="J34"/>
  <c r="C32"/>
  <c r="C31"/>
  <c r="C15"/>
  <c r="C14"/>
  <c r="J15"/>
  <c r="C13"/>
  <c r="C12"/>
  <c r="J9"/>
  <c r="C6"/>
  <c r="C5"/>
  <c r="O59" i="58"/>
  <c r="J40" i="16"/>
  <c r="C37"/>
  <c r="J34"/>
  <c r="C33"/>
  <c r="C32"/>
  <c r="J29"/>
  <c r="C29"/>
  <c r="H29" s="1"/>
  <c r="J24"/>
  <c r="C24"/>
  <c r="H24" s="1"/>
  <c r="J20"/>
  <c r="C19"/>
  <c r="C18"/>
  <c r="J8"/>
  <c r="C6"/>
  <c r="C5"/>
  <c r="C7" s="1"/>
  <c r="J9" i="8"/>
  <c r="J7" i="15"/>
  <c r="K7" s="1"/>
  <c r="J96" i="2"/>
  <c r="C95"/>
  <c r="C94"/>
  <c r="J84"/>
  <c r="C82"/>
  <c r="J77"/>
  <c r="C76"/>
  <c r="C75"/>
  <c r="J66"/>
  <c r="C63"/>
  <c r="C62"/>
  <c r="C56"/>
  <c r="C58" s="1"/>
  <c r="C53"/>
  <c r="C51"/>
  <c r="C45"/>
  <c r="C47" s="1"/>
  <c r="C42"/>
  <c r="C40"/>
  <c r="C24"/>
  <c r="C22"/>
  <c r="C20"/>
  <c r="C18"/>
  <c r="C16"/>
  <c r="J28"/>
  <c r="C13"/>
  <c r="C11"/>
  <c r="J12"/>
  <c r="C9"/>
  <c r="C7"/>
  <c r="C5"/>
  <c r="J48" i="1"/>
  <c r="J41"/>
  <c r="C21"/>
  <c r="C22"/>
  <c r="J6"/>
  <c r="C5"/>
  <c r="C15" s="1"/>
  <c r="L58" i="58" l="1"/>
  <c r="O58" s="1"/>
  <c r="L61"/>
  <c r="O61" s="1"/>
  <c r="E8" i="25"/>
  <c r="D8"/>
  <c r="K17" i="21"/>
  <c r="L114" i="58"/>
  <c r="O114" s="1"/>
  <c r="K13" i="21"/>
  <c r="L113" i="58"/>
  <c r="O113" s="1"/>
  <c r="C79" i="14"/>
  <c r="H82" s="1"/>
  <c r="C15"/>
  <c r="K32" i="24"/>
  <c r="L102" i="58"/>
  <c r="O102" s="1"/>
  <c r="L88"/>
  <c r="O88" s="1"/>
  <c r="C9" i="13"/>
  <c r="H9" s="1"/>
  <c r="L85" i="58" s="1"/>
  <c r="O85" s="1"/>
  <c r="H62" i="12"/>
  <c r="K63" s="1"/>
  <c r="C7" i="11"/>
  <c r="H9" s="1"/>
  <c r="C33"/>
  <c r="H34" s="1"/>
  <c r="L75" i="58" s="1"/>
  <c r="O75" s="1"/>
  <c r="C79" i="2"/>
  <c r="H77" s="1"/>
  <c r="K77" s="1"/>
  <c r="C83"/>
  <c r="H84" s="1"/>
  <c r="C44"/>
  <c r="C23" i="1"/>
  <c r="K70" i="14"/>
  <c r="L107" i="58"/>
  <c r="O107" s="1"/>
  <c r="O11"/>
  <c r="K21" i="24"/>
  <c r="K37"/>
  <c r="C21" i="11"/>
  <c r="H15" s="1"/>
  <c r="C39"/>
  <c r="H40" s="1"/>
  <c r="L76" i="58" s="1"/>
  <c r="O76" s="1"/>
  <c r="C20" i="16"/>
  <c r="H20" s="1"/>
  <c r="K20" s="1"/>
  <c r="C34"/>
  <c r="H34" s="1"/>
  <c r="K34" s="1"/>
  <c r="C41"/>
  <c r="H40" s="1"/>
  <c r="I51" i="20" s="1"/>
  <c r="C97" i="2"/>
  <c r="H96" s="1"/>
  <c r="K96" s="1"/>
  <c r="C55"/>
  <c r="C59" s="1"/>
  <c r="H55" s="1"/>
  <c r="C15"/>
  <c r="C72"/>
  <c r="H66" s="1"/>
  <c r="L52" i="58" s="1"/>
  <c r="C36" i="2"/>
  <c r="H8" i="24"/>
  <c r="D9" i="21"/>
  <c r="J9" s="1"/>
  <c r="K9" s="1"/>
  <c r="F11" i="1"/>
  <c r="H12" s="1"/>
  <c r="D12" s="1"/>
  <c r="F17"/>
  <c r="H18" s="1"/>
  <c r="E18" s="1"/>
  <c r="E61" i="15"/>
  <c r="H8" i="23"/>
  <c r="H9" i="8"/>
  <c r="C17" i="18" s="1"/>
  <c r="H8" i="16"/>
  <c r="H34" i="13"/>
  <c r="L89" i="58" s="1"/>
  <c r="O89" s="1"/>
  <c r="K29" i="16"/>
  <c r="K24"/>
  <c r="K40" i="13"/>
  <c r="K27"/>
  <c r="K21"/>
  <c r="K15"/>
  <c r="H6" i="1"/>
  <c r="K6" s="1"/>
  <c r="L18" i="58" l="1"/>
  <c r="O18" s="1"/>
  <c r="E8" i="23"/>
  <c r="D8"/>
  <c r="J8" s="1"/>
  <c r="K8" s="1"/>
  <c r="L53" i="58"/>
  <c r="O53" s="1"/>
  <c r="K82" i="14"/>
  <c r="C41" i="18"/>
  <c r="G15" i="20" s="1"/>
  <c r="J8" i="25"/>
  <c r="K8" s="1"/>
  <c r="E8" i="24"/>
  <c r="D8"/>
  <c r="D62" s="1"/>
  <c r="D24" i="17" s="1"/>
  <c r="K84" i="2"/>
  <c r="L68" i="58"/>
  <c r="O68" s="1"/>
  <c r="L31"/>
  <c r="O31" s="1"/>
  <c r="L16"/>
  <c r="O16" s="1"/>
  <c r="F62" i="24"/>
  <c r="F24" i="17" s="1"/>
  <c r="O57" i="58"/>
  <c r="K66" i="2"/>
  <c r="O52" i="58"/>
  <c r="K15" i="11"/>
  <c r="L29" i="58"/>
  <c r="O29" s="1"/>
  <c r="O28"/>
  <c r="O26"/>
  <c r="O25"/>
  <c r="O24"/>
  <c r="O23"/>
  <c r="O22"/>
  <c r="O21"/>
  <c r="K8" i="16"/>
  <c r="F21" i="14"/>
  <c r="H22" s="1"/>
  <c r="L5" i="58" s="1"/>
  <c r="F27" i="14"/>
  <c r="H28" s="1"/>
  <c r="L9" i="58" s="1"/>
  <c r="O9" s="1"/>
  <c r="K34" i="13"/>
  <c r="K9"/>
  <c r="K40" i="11"/>
  <c r="K40" i="16"/>
  <c r="F61"/>
  <c r="F12" i="17" s="1"/>
  <c r="E61" i="16"/>
  <c r="E12" i="17" s="1"/>
  <c r="C37" i="2"/>
  <c r="H20" s="1"/>
  <c r="G61" i="15"/>
  <c r="G4" i="17" s="1"/>
  <c r="C48" i="2"/>
  <c r="H45" s="1"/>
  <c r="L15" i="58" s="1"/>
  <c r="D61" i="15"/>
  <c r="B11" i="52" s="1"/>
  <c r="F61" i="15"/>
  <c r="F4" i="17" s="1"/>
  <c r="E4"/>
  <c r="B8" i="53"/>
  <c r="G62" i="24"/>
  <c r="G24" i="17" s="1"/>
  <c r="F14" i="14"/>
  <c r="H15" s="1"/>
  <c r="F8"/>
  <c r="H9" s="1"/>
  <c r="E12" i="1"/>
  <c r="H33" i="14"/>
  <c r="J18" i="1"/>
  <c r="K18" s="1"/>
  <c r="K61" i="15"/>
  <c r="K4" i="17" s="1"/>
  <c r="G62" i="13"/>
  <c r="G20" i="17" s="1"/>
  <c r="K9" i="8"/>
  <c r="D61" i="16"/>
  <c r="F62" i="13"/>
  <c r="F20" i="17" s="1"/>
  <c r="E61" i="23"/>
  <c r="E23" i="17" s="1"/>
  <c r="G61" i="23"/>
  <c r="G23" i="17" s="1"/>
  <c r="E62" i="13"/>
  <c r="E20" i="17" s="1"/>
  <c r="G61" i="16"/>
  <c r="G12" i="17" s="1"/>
  <c r="D62" i="13"/>
  <c r="G62" i="25"/>
  <c r="G25" i="17" s="1"/>
  <c r="E62" i="25"/>
  <c r="E25" i="17" s="1"/>
  <c r="D62" i="25"/>
  <c r="D25" i="17" s="1"/>
  <c r="G61" i="21"/>
  <c r="G27" i="17" s="1"/>
  <c r="D61" i="21"/>
  <c r="D27" i="17" s="1"/>
  <c r="E61" i="21"/>
  <c r="E27" i="17" s="1"/>
  <c r="K34" i="11"/>
  <c r="G62" i="8"/>
  <c r="G11" i="17" s="1"/>
  <c r="D62" i="8"/>
  <c r="E62"/>
  <c r="E11" i="17" s="1"/>
  <c r="F62" i="8"/>
  <c r="F11" i="17" s="1"/>
  <c r="K9" i="11"/>
  <c r="G24" i="1"/>
  <c r="H25" s="1"/>
  <c r="D25" s="1"/>
  <c r="G47"/>
  <c r="H48" s="1"/>
  <c r="K48" s="1"/>
  <c r="G34"/>
  <c r="H35" s="1"/>
  <c r="L7" i="58" s="1"/>
  <c r="F40" i="1"/>
  <c r="H41" s="1"/>
  <c r="K41" l="1"/>
  <c r="F117" i="58"/>
  <c r="I117" s="1"/>
  <c r="O117" s="1"/>
  <c r="B75" i="52"/>
  <c r="K20" i="2"/>
  <c r="L40" i="58"/>
  <c r="E11" i="52"/>
  <c r="L106" i="58"/>
  <c r="O106" s="1"/>
  <c r="K61" i="16"/>
  <c r="K12" i="17" s="1"/>
  <c r="O15" i="58"/>
  <c r="K22" i="14"/>
  <c r="O5" i="58"/>
  <c r="K33" i="14"/>
  <c r="K62" i="13"/>
  <c r="K20" i="17" s="1"/>
  <c r="D4"/>
  <c r="H61" i="15"/>
  <c r="K62" s="1"/>
  <c r="B14" i="52"/>
  <c r="I16" s="1"/>
  <c r="B11" i="53"/>
  <c r="H13" s="1"/>
  <c r="E8"/>
  <c r="I7" i="58"/>
  <c r="F43" i="21" s="1"/>
  <c r="E25" i="1"/>
  <c r="E62" i="24"/>
  <c r="E24" i="17" s="1"/>
  <c r="J8" i="24"/>
  <c r="K8" s="1"/>
  <c r="K62" s="1"/>
  <c r="K24" i="17" s="1"/>
  <c r="K28" i="14"/>
  <c r="E9"/>
  <c r="D9"/>
  <c r="E15"/>
  <c r="D20" i="17"/>
  <c r="D12"/>
  <c r="D11"/>
  <c r="B60" i="52"/>
  <c r="J12" i="1"/>
  <c r="K12" s="1"/>
  <c r="H61" i="16"/>
  <c r="H62" i="13"/>
  <c r="K62" i="8"/>
  <c r="K11" i="17" s="1"/>
  <c r="H28" i="2"/>
  <c r="L14" i="58" s="1"/>
  <c r="F62" i="11"/>
  <c r="F15" i="17" s="1"/>
  <c r="G125" i="14"/>
  <c r="G26" i="17" s="1"/>
  <c r="H62" i="8"/>
  <c r="H29" i="1"/>
  <c r="H12" i="2"/>
  <c r="L12" i="58" l="1"/>
  <c r="O12" s="1"/>
  <c r="B22" i="53"/>
  <c r="B25" s="1"/>
  <c r="H27" s="1"/>
  <c r="J43" i="21"/>
  <c r="K43" s="1"/>
  <c r="K61" s="1"/>
  <c r="K27" i="17" s="1"/>
  <c r="F61" i="21"/>
  <c r="J15" i="14"/>
  <c r="K15" s="1"/>
  <c r="O7" i="58"/>
  <c r="F65" i="1"/>
  <c r="J65" s="1"/>
  <c r="K65" s="1"/>
  <c r="K62" i="16"/>
  <c r="K63" i="13"/>
  <c r="F27" i="23"/>
  <c r="F39"/>
  <c r="J39" s="1"/>
  <c r="K39" s="1"/>
  <c r="F45" i="2"/>
  <c r="B16" i="52"/>
  <c r="B13" i="53"/>
  <c r="K28" i="2"/>
  <c r="F35" i="1"/>
  <c r="J35" s="1"/>
  <c r="K35" s="1"/>
  <c r="E29"/>
  <c r="B36" i="53" s="1"/>
  <c r="J25" i="1"/>
  <c r="K25" s="1"/>
  <c r="H62" i="24"/>
  <c r="K63" s="1"/>
  <c r="E75" i="52"/>
  <c r="D125" i="14"/>
  <c r="D26" i="17" s="1"/>
  <c r="E125" i="14"/>
  <c r="E26" i="17" s="1"/>
  <c r="J9" i="14"/>
  <c r="K9" s="1"/>
  <c r="E60" i="52"/>
  <c r="B63"/>
  <c r="I65" s="1"/>
  <c r="K63" i="8"/>
  <c r="E124" i="2"/>
  <c r="E8" i="17" s="1"/>
  <c r="G124" i="2"/>
  <c r="G8" i="17" s="1"/>
  <c r="D125" i="1"/>
  <c r="G125"/>
  <c r="G5" i="17" s="1"/>
  <c r="E62" i="11"/>
  <c r="E15" i="17" s="1"/>
  <c r="D62" i="11"/>
  <c r="B90" i="52" s="1"/>
  <c r="G62" i="11"/>
  <c r="G15" i="17" s="1"/>
  <c r="K62" i="11"/>
  <c r="K15" i="17" s="1"/>
  <c r="K12" i="2"/>
  <c r="E22" i="53" l="1"/>
  <c r="B58"/>
  <c r="B27"/>
  <c r="F27" i="17"/>
  <c r="H61" i="21"/>
  <c r="K62" s="1"/>
  <c r="K125" i="14"/>
  <c r="K26" i="17" s="1"/>
  <c r="F125" i="14"/>
  <c r="F26" i="17" s="1"/>
  <c r="F61" i="23"/>
  <c r="J27"/>
  <c r="K27" s="1"/>
  <c r="K62" i="25"/>
  <c r="K25" i="17" s="1"/>
  <c r="F62" i="25"/>
  <c r="F124" i="2"/>
  <c r="F8" i="17" s="1"/>
  <c r="J45" i="2"/>
  <c r="K45" s="1"/>
  <c r="J55"/>
  <c r="K55" s="1"/>
  <c r="F125" i="1"/>
  <c r="F5" i="17" s="1"/>
  <c r="J29" i="1"/>
  <c r="K29" s="1"/>
  <c r="K125" s="1"/>
  <c r="K5" i="17" s="1"/>
  <c r="E36" i="53"/>
  <c r="B78" i="52"/>
  <c r="I80" s="1"/>
  <c r="D15" i="17"/>
  <c r="B65" i="52"/>
  <c r="E125" i="1"/>
  <c r="E5" i="17" s="1"/>
  <c r="E30" s="1"/>
  <c r="G13" i="20" s="1"/>
  <c r="D5" i="17"/>
  <c r="H62" i="11"/>
  <c r="K63" s="1"/>
  <c r="B39" i="53" l="1"/>
  <c r="H41" s="1"/>
  <c r="H60" s="1"/>
  <c r="G31" i="20" s="1"/>
  <c r="H125" i="14"/>
  <c r="K126" s="1"/>
  <c r="F25" i="17"/>
  <c r="H62" i="25"/>
  <c r="K63" s="1"/>
  <c r="F23" i="17"/>
  <c r="B80" i="52"/>
  <c r="B93"/>
  <c r="I95" s="1"/>
  <c r="E90"/>
  <c r="H125" i="1"/>
  <c r="K126" s="1"/>
  <c r="G23" i="19"/>
  <c r="G19"/>
  <c r="G7"/>
  <c r="B41" i="53" l="1"/>
  <c r="B95" i="52"/>
  <c r="O105" i="58" l="1"/>
  <c r="O40"/>
  <c r="O110" l="1"/>
  <c r="O14"/>
  <c r="O119" l="1"/>
  <c r="G14" i="20" s="1"/>
  <c r="F30" i="17"/>
  <c r="G30"/>
  <c r="J14" i="23" l="1"/>
  <c r="K14" s="1"/>
  <c r="K61" s="1"/>
  <c r="K23" i="17" s="1"/>
  <c r="D61" i="23"/>
  <c r="B26" i="52" s="1"/>
  <c r="B29" l="1"/>
  <c r="I31" s="1"/>
  <c r="E26"/>
  <c r="D23" i="17"/>
  <c r="H61" i="23"/>
  <c r="K62" s="1"/>
  <c r="B31" i="52" l="1"/>
  <c r="F27" i="19" l="1"/>
  <c r="G27" s="1"/>
  <c r="F8"/>
  <c r="G8" s="1"/>
  <c r="F30"/>
  <c r="G30" s="1"/>
  <c r="H9" i="20"/>
  <c r="G28" i="19"/>
  <c r="F9"/>
  <c r="G9" s="1"/>
  <c r="F33"/>
  <c r="G33" s="1"/>
  <c r="F31"/>
  <c r="G31" s="1"/>
  <c r="F26"/>
  <c r="G26" s="1"/>
  <c r="F22"/>
  <c r="G22" s="1"/>
  <c r="F25"/>
  <c r="G25" s="1"/>
  <c r="F6"/>
  <c r="G6" s="1"/>
  <c r="G45" l="1"/>
  <c r="G47" s="1"/>
  <c r="G21" i="20" s="1"/>
  <c r="I50" i="52"/>
  <c r="D124" i="2"/>
  <c r="H124" s="1"/>
  <c r="K124"/>
  <c r="K8" i="17" s="1"/>
  <c r="K30" s="1"/>
  <c r="K125" i="2" l="1"/>
  <c r="B44" i="52"/>
  <c r="D8" i="17"/>
  <c r="D30" s="1"/>
  <c r="B47" i="52" l="1"/>
  <c r="I47" s="1"/>
  <c r="I115" s="1"/>
  <c r="G30" i="20" s="1"/>
  <c r="B113" i="52"/>
  <c r="E44"/>
  <c r="H30" i="17"/>
  <c r="K31" s="1"/>
  <c r="G12" i="20"/>
  <c r="G34" l="1"/>
  <c r="G36" s="1"/>
  <c r="B50" i="52"/>
  <c r="G37" i="20" l="1"/>
  <c r="I34" s="1"/>
  <c r="H34" s="1"/>
  <c r="G39" l="1"/>
  <c r="G47" s="1"/>
  <c r="G49" s="1"/>
  <c r="H51" s="1"/>
  <c r="D51"/>
</calcChain>
</file>

<file path=xl/sharedStrings.xml><?xml version="1.0" encoding="utf-8"?>
<sst xmlns="http://schemas.openxmlformats.org/spreadsheetml/2006/main" count="2485" uniqueCount="947">
  <si>
    <t>Multiplier</t>
  </si>
  <si>
    <t>Measure</t>
  </si>
  <si>
    <t>Work Item</t>
  </si>
  <si>
    <t>Labour</t>
  </si>
  <si>
    <t>Plant</t>
  </si>
  <si>
    <t>Material</t>
  </si>
  <si>
    <t>Measure total</t>
  </si>
  <si>
    <t>Unit</t>
  </si>
  <si>
    <t>Rate</t>
  </si>
  <si>
    <t>Total</t>
  </si>
  <si>
    <t>Set up site (Water, Electric, Hutting etc)</t>
  </si>
  <si>
    <t>Item</t>
  </si>
  <si>
    <t xml:space="preserve">: - 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</si>
  <si>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</si>
  <si>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Excavate to reduce levels</t>
  </si>
  <si>
    <t>Excavate in normal soil for foundation trench</t>
  </si>
  <si>
    <t>Width (mm)</t>
  </si>
  <si>
    <t>Depth (mm)</t>
  </si>
  <si>
    <r>
      <t>Volume (m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)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</si>
  <si>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</si>
  <si>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Remove excavated materials from site</t>
  </si>
  <si>
    <t>Concrete in foundations</t>
  </si>
  <si>
    <t>Level &amp; compact to foundation bottoms</t>
  </si>
  <si>
    <t>Area (m2)</t>
  </si>
  <si>
    <t>Earth work support: - N.e. 2.00m between faces &amp; n.e. 2.00m deep</t>
  </si>
  <si>
    <t>Faces (no)</t>
  </si>
  <si>
    <t>Half brick wall in common bricks laid stretcher bond in 1:3 CTM, bedded &amp; pointed to DPC level</t>
  </si>
  <si>
    <t>Height (mm)</t>
  </si>
  <si>
    <t>Extra-over half-brick wall in common brick - Facing brick as splash course</t>
  </si>
  <si>
    <t>112mm wide polythene DPC on thin mortar bed</t>
  </si>
  <si>
    <t>Runs (no)</t>
  </si>
  <si>
    <t>75mm thick 1:3 sand &amp; cement floor screed c/w steel trowel finish</t>
  </si>
  <si>
    <t>Fabric mesh reinforcement</t>
  </si>
  <si>
    <t>Building paper</t>
  </si>
  <si>
    <t>75mm thick floor insulation</t>
  </si>
  <si>
    <t>1200guage polythene DPM</t>
  </si>
  <si>
    <t>Section totals:</t>
  </si>
  <si>
    <t>&amp;</t>
  </si>
  <si>
    <t>Deduct</t>
  </si>
  <si>
    <t>m</t>
  </si>
  <si>
    <t>Close cavity at reveals including insulated DPC</t>
  </si>
  <si>
    <t>Extra-over Half brick wall in Facing brick: - Brick on end soldier course</t>
  </si>
  <si>
    <t>Extra-over Half brick wall in Facing brick: - Decorative coursing, raking to gables</t>
  </si>
  <si>
    <t>I.G. or similar metal insulated lintel complete with cavity tray over and stop ends as necessary</t>
  </si>
  <si>
    <t>No.</t>
  </si>
  <si>
    <t>Sub-c</t>
  </si>
  <si>
    <t>Windows</t>
  </si>
  <si>
    <t>Section totals</t>
  </si>
  <si>
    <t>UPVC windows and external doors complete with trickle vents, weather stripping, mastic pointing and ironmongery as necessary</t>
  </si>
  <si>
    <t>Ditto: As wall plate bolted to wall/in steel flange to receive joist hangers</t>
  </si>
  <si>
    <t>Galvanised mild steel joist hangers</t>
  </si>
  <si>
    <t>Galvanised mild steel lateral restraint strap to cover 3no. timbers c/w noggins</t>
  </si>
  <si>
    <t>50 x 50mm tanslised softwood herringbone strutting</t>
  </si>
  <si>
    <t>Site Set up &amp; demolitions</t>
  </si>
  <si>
    <t>External Joinery</t>
  </si>
  <si>
    <t>First floor</t>
  </si>
  <si>
    <t>Roofing</t>
  </si>
  <si>
    <t>Mechanical &amp; Electrical Works</t>
  </si>
  <si>
    <t>Drainage</t>
  </si>
  <si>
    <t>External Works</t>
  </si>
  <si>
    <t>100 x 65mm softwood wall plate on thin bed mortar</t>
  </si>
  <si>
    <t>Galvanised mild steel holding down straps fixed to softwood wall plate and masonry</t>
  </si>
  <si>
    <t>Propriatery gang nail trussed rafter system to span wall plates @ 600mm c/c's</t>
  </si>
  <si>
    <t>Extra-over roof tiles: Ridge tile</t>
  </si>
  <si>
    <t>Extra-over roof tiles: Fibre cement under eaves cloak</t>
  </si>
  <si>
    <t>Extra-over roof tiles: 100mm wide Code 4 lead valley complete with raking cutting both sides</t>
  </si>
  <si>
    <t>Code 4 lead apron flashing @ wall abuttment with min. 150mm upstand, dressed to brickwork</t>
  </si>
  <si>
    <t>Ditto: - Stepped</t>
  </si>
  <si>
    <t>Ditto: - To chimney</t>
  </si>
  <si>
    <t>12.5mm thick plasterboard to ceilings</t>
  </si>
  <si>
    <t>Skim coat plaster finish to plasterboard</t>
  </si>
  <si>
    <t>15mm thick plasterboard to ground floor ceilings</t>
  </si>
  <si>
    <t>12.5mm thick plasterboard to studwork</t>
  </si>
  <si>
    <t>Moulded wrought softwood architrave</t>
  </si>
  <si>
    <t>Runs (no.)</t>
  </si>
  <si>
    <t>Length (m)</t>
  </si>
  <si>
    <t>2 coat plaster to masonry walls</t>
  </si>
  <si>
    <t>Ditto: - To reveals. N.e. 300mm wide</t>
  </si>
  <si>
    <t>Avg. Width (mm)</t>
  </si>
  <si>
    <r>
      <t>Area (m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)</t>
    </r>
  </si>
  <si>
    <t>Galvanised mild steel angle bead</t>
  </si>
  <si>
    <t>Allow the PC sum for supply of internal doors complete with ironmongery</t>
  </si>
  <si>
    <t>762 x 1981mm</t>
  </si>
  <si>
    <t>Moulded wrought softwood skirting board</t>
  </si>
  <si>
    <t>1no. mist and 2no. full coats emulsion to plaster surfaces</t>
  </si>
  <si>
    <t>Allow the PC sum for the supply of sanitaryware</t>
  </si>
  <si>
    <t>no.</t>
  </si>
  <si>
    <t>Allow the PC sum for specialist sub-contract plumbing and heating installation including above-ground drainage and installation of sanitaryware</t>
  </si>
  <si>
    <t>Allow the PC sum for specialist sub-contract electrical installation including smoke detection, mechanical ventialtion and alarm systems</t>
  </si>
  <si>
    <t>Extra-over gutter: - Stop end</t>
  </si>
  <si>
    <t>Extra-over gutter: - Running outlet</t>
  </si>
  <si>
    <t>Extra-over gutter: - Angle</t>
  </si>
  <si>
    <t>65mm diameter UPVC rainwater downpipe, fixed via brackets to masonry</t>
  </si>
  <si>
    <t>Extra-over downpipe: - Angle to form offset</t>
  </si>
  <si>
    <t>100mm diameter underground drainage pipe, laid to falls</t>
  </si>
  <si>
    <t>Granular fill to pipe bed and surround</t>
  </si>
  <si>
    <t>Extra-over drainage pipe: - Rest Bend</t>
  </si>
  <si>
    <t>Extra-over drainage pipe: - Inlet gulley</t>
  </si>
  <si>
    <t>475mm diameter PPIC inspection chamber complete with granular fill bed and surround, medium duty frame and cover</t>
  </si>
  <si>
    <t>Concrete relieving lintels complete with vermin proofing</t>
  </si>
  <si>
    <t>Excavate to reduce levels for paving (Approx. 150mm)</t>
  </si>
  <si>
    <t>Allow the PC sum for supply &amp; installation of softwood, close-boarded fencing complete with posts, bases and gravel boards as necessary</t>
  </si>
  <si>
    <t>Sub-contract</t>
  </si>
  <si>
    <t>Collection</t>
  </si>
  <si>
    <t>Section</t>
  </si>
  <si>
    <t>Site set up &amp; demolitions</t>
  </si>
  <si>
    <t>Trade</t>
  </si>
  <si>
    <t>Subcontractor</t>
  </si>
  <si>
    <t>Value</t>
  </si>
  <si>
    <t>Used</t>
  </si>
  <si>
    <t>MCD</t>
  </si>
  <si>
    <t>B.w.i.c</t>
  </si>
  <si>
    <t>Sub-contractor analysis</t>
  </si>
  <si>
    <t>Floor Screed</t>
  </si>
  <si>
    <t>Structural steelwork</t>
  </si>
  <si>
    <t>UPVC Windows &amp; doors</t>
  </si>
  <si>
    <t>Paint</t>
  </si>
  <si>
    <t>Dry-lining &amp; Plaster</t>
  </si>
  <si>
    <t>Plumbing</t>
  </si>
  <si>
    <t>Electrical</t>
  </si>
  <si>
    <t>Fencing</t>
  </si>
  <si>
    <t>B.E.S.</t>
  </si>
  <si>
    <t>Preliminary Costs</t>
  </si>
  <si>
    <t>Bill Ref:</t>
  </si>
  <si>
    <t>Description</t>
  </si>
  <si>
    <t>Supervision</t>
  </si>
  <si>
    <t>Engineer</t>
  </si>
  <si>
    <t>Storage</t>
  </si>
  <si>
    <t>Mess Hut</t>
  </si>
  <si>
    <t>Toilet</t>
  </si>
  <si>
    <t>Compound</t>
  </si>
  <si>
    <t>Watching/lighting</t>
  </si>
  <si>
    <t>Connection</t>
  </si>
  <si>
    <t>Calls</t>
  </si>
  <si>
    <t>Hoist</t>
  </si>
  <si>
    <t>Waste disposal</t>
  </si>
  <si>
    <t>Signboard</t>
  </si>
  <si>
    <t>Reinstatement works</t>
  </si>
  <si>
    <t>Fuel</t>
  </si>
  <si>
    <t>Electricity</t>
  </si>
  <si>
    <t>Staffing costs:</t>
  </si>
  <si>
    <t>Non-productive labour</t>
  </si>
  <si>
    <t>Vehicles</t>
  </si>
  <si>
    <t>Protection</t>
  </si>
  <si>
    <t>Roof</t>
  </si>
  <si>
    <t>Road/access</t>
  </si>
  <si>
    <t>External</t>
  </si>
  <si>
    <t>Internal</t>
  </si>
  <si>
    <t xml:space="preserve">Crane </t>
  </si>
  <si>
    <t>Gas</t>
  </si>
  <si>
    <t>Water</t>
  </si>
  <si>
    <t>Site office</t>
  </si>
  <si>
    <t>Small tools</t>
  </si>
  <si>
    <t>Health &amp; Safety</t>
  </si>
  <si>
    <t>Estimator costs</t>
  </si>
  <si>
    <t>On completion</t>
  </si>
  <si>
    <t>For handover</t>
  </si>
  <si>
    <t>Drying out</t>
  </si>
  <si>
    <t>Snagging</t>
  </si>
  <si>
    <t>Maintenance</t>
  </si>
  <si>
    <t>Fees &amp; licences</t>
  </si>
  <si>
    <t>Insurance</t>
  </si>
  <si>
    <t>Overtime</t>
  </si>
  <si>
    <t>LADs</t>
  </si>
  <si>
    <t>Bond</t>
  </si>
  <si>
    <t>Transport costs:</t>
  </si>
  <si>
    <t>Temporary works:</t>
  </si>
  <si>
    <t>Site costs:</t>
  </si>
  <si>
    <t>Utility costs:</t>
  </si>
  <si>
    <t>Welfare facilities:</t>
  </si>
  <si>
    <t>Contractors admin:</t>
  </si>
  <si>
    <t>Completion costs:</t>
  </si>
  <si>
    <t>Other:</t>
  </si>
  <si>
    <t xml:space="preserve">Clean site - </t>
  </si>
  <si>
    <t xml:space="preserve">Telephone - </t>
  </si>
  <si>
    <t xml:space="preserve">Scaffolding - </t>
  </si>
  <si>
    <t>Suggested Contract Duration:</t>
  </si>
  <si>
    <t>Sub-total</t>
  </si>
  <si>
    <t>Adjustments</t>
  </si>
  <si>
    <t>Sub-total:</t>
  </si>
  <si>
    <t>Adjustments:</t>
  </si>
  <si>
    <t>Prelim total:</t>
  </si>
  <si>
    <t>weeks</t>
  </si>
  <si>
    <t>Estimate No:</t>
  </si>
  <si>
    <t>Client:</t>
  </si>
  <si>
    <t>Architect:</t>
  </si>
  <si>
    <t>Form of Contract:</t>
  </si>
  <si>
    <t>LAD:</t>
  </si>
  <si>
    <t>Start Date</t>
  </si>
  <si>
    <t>Contract Period:</t>
  </si>
  <si>
    <t>Margin Addition</t>
  </si>
  <si>
    <t>Bill Total</t>
  </si>
  <si>
    <t>Direct Work:</t>
  </si>
  <si>
    <t>Sub-contract:</t>
  </si>
  <si>
    <t>Labour only</t>
  </si>
  <si>
    <t>Nominated suppliers</t>
  </si>
  <si>
    <t>Preliminaries:</t>
  </si>
  <si>
    <t>E-documents:</t>
  </si>
  <si>
    <t>Increased costs:</t>
  </si>
  <si>
    <t>Overheads</t>
  </si>
  <si>
    <t>@</t>
  </si>
  <si>
    <t>L/P/M</t>
  </si>
  <si>
    <t>Profits</t>
  </si>
  <si>
    <t>Contract Provisional Sums</t>
  </si>
  <si>
    <t>Builders Provisional Sums</t>
  </si>
  <si>
    <t>Contingency Sum</t>
  </si>
  <si>
    <t>Dayworks</t>
  </si>
  <si>
    <t>TOTAL</t>
  </si>
  <si>
    <t>TENDER SUM</t>
  </si>
  <si>
    <t>Statutory Authorities</t>
  </si>
  <si>
    <t>Excavate in normal soil for drainage trench. Level &amp; compact and Earthwork Support as necessary. Return fill excavted materials and remove surplus from site</t>
  </si>
  <si>
    <t>Layers (no)</t>
  </si>
  <si>
    <t>Excavate in normal soil for service trenches. Level &amp; compact and Earthwork Support as necessary. Return fill excavted materials and remove surplus from site</t>
  </si>
  <si>
    <t>m2</t>
  </si>
  <si>
    <t>25mm diameter blue alkathene pipe</t>
  </si>
  <si>
    <t>100mm diameter ducting c/w drawstring</t>
  </si>
  <si>
    <t>Section Totals</t>
  </si>
  <si>
    <t>100 x 150mm concrete edgings complete with concrete bed and haunching</t>
  </si>
  <si>
    <t>Excavate for concrete manhole and remove excavated materials from site</t>
  </si>
  <si>
    <t>150mm thick concrete surround to manhole rings</t>
  </si>
  <si>
    <t>1000 x 500 x 400mm Polystorm crates to form soakaway</t>
  </si>
  <si>
    <t>Geotextile membrane surround to polystorm crates</t>
  </si>
  <si>
    <t>300mm thick topsoil backfill to soakaway system</t>
  </si>
  <si>
    <t>300mm thick topsoil backfill to storage tank</t>
  </si>
  <si>
    <t>Trim out for and install loft access hatch</t>
  </si>
  <si>
    <t>Loft Ladder</t>
  </si>
  <si>
    <t>One brick wall in facing bricks laid stretcher bond in 1:3 CTM</t>
  </si>
  <si>
    <t>Extra-over Half brick wall in Facing brick: - Stone cills</t>
  </si>
  <si>
    <t>1405mm long</t>
  </si>
  <si>
    <t>835mm long</t>
  </si>
  <si>
    <t>Services</t>
  </si>
  <si>
    <t>Concrete Manhole</t>
  </si>
  <si>
    <t>Rainwater Attenuation</t>
  </si>
  <si>
    <t>Foul Water Storage</t>
  </si>
  <si>
    <t>50 x 50mm softwood noggins to receive plasterboard</t>
  </si>
  <si>
    <t>Total On Cost</t>
  </si>
  <si>
    <t>Price per square foot</t>
  </si>
  <si>
    <t>Allow the PC sum for specialist sub-contract structural steel installation</t>
  </si>
  <si>
    <t>Carefully remove and set aside exg paving</t>
  </si>
  <si>
    <t>150mm thick pre-cast concrete beam &amp; block floor c/w telescopic void vents &amp; air bricks as necessary</t>
  </si>
  <si>
    <t>Weed killer to floor void</t>
  </si>
  <si>
    <t>Volume (m3)</t>
  </si>
  <si>
    <t>Beam &amp; block floor</t>
  </si>
  <si>
    <t>L1/S100 - 600mm</t>
  </si>
  <si>
    <t>L1/S100 - 900mm</t>
  </si>
  <si>
    <t>L1/S100 - 1050mm</t>
  </si>
  <si>
    <t>L1/S100 - 1200mm</t>
  </si>
  <si>
    <t>L1/S100 - 1350mm</t>
  </si>
  <si>
    <t>L1/S100 - 1500mm</t>
  </si>
  <si>
    <t>L1/S100 - 1650mm</t>
  </si>
  <si>
    <t>L1/S100 - 1800mm</t>
  </si>
  <si>
    <t>L1/S100 - 1950mm</t>
  </si>
  <si>
    <t>L1/S100 - 2100mm</t>
  </si>
  <si>
    <t>L1/S100 - 2250mm</t>
  </si>
  <si>
    <t>L1/S100 - 2400mm</t>
  </si>
  <si>
    <t>L1/S100 - 2550mm</t>
  </si>
  <si>
    <t>L1/S100 - 2700mm</t>
  </si>
  <si>
    <t>L1/S100 - 2850mm</t>
  </si>
  <si>
    <t>L1/S100 - 3000mm</t>
  </si>
  <si>
    <t>12.5mm thick plasterboard to boxing</t>
  </si>
  <si>
    <t>3no coats paintwork internally to staircase</t>
  </si>
  <si>
    <t>3no. Coat paintwork to internal doors</t>
  </si>
  <si>
    <t>3no. Coat paintwork to internal woodwork surfaces (door linings - not exceeding 150mm girth)</t>
  </si>
  <si>
    <t>Ditto: - To architraves</t>
  </si>
  <si>
    <t>3no. Coat paintwork to internal woodwork surfaces (window boards - 150 - 300mm girth)</t>
  </si>
  <si>
    <t>3no. Coat paintwork to internal woodwork surfaces (skirtings - not exceeding 150mm girth)</t>
  </si>
  <si>
    <t>Groundwork (Machine)</t>
  </si>
  <si>
    <t>Brickwork to DPC</t>
  </si>
  <si>
    <t>Ground Floor (B &amp; B)</t>
  </si>
  <si>
    <t>External Walls (Brickwork)</t>
  </si>
  <si>
    <t>Stone Work</t>
  </si>
  <si>
    <t>Lintels &amp; Steelwork</t>
  </si>
  <si>
    <t>First Floor</t>
  </si>
  <si>
    <t>Roof Structure (Truss)</t>
  </si>
  <si>
    <t>Roof Covers</t>
  </si>
  <si>
    <t>Carentry (First-fix)</t>
  </si>
  <si>
    <t>Plaster, Drylining &amp; Ins</t>
  </si>
  <si>
    <t>Carpentry (Second-fix)</t>
  </si>
  <si>
    <t>Painting</t>
  </si>
  <si>
    <t>M&amp;E</t>
  </si>
  <si>
    <t>Guttering (UPVC)</t>
  </si>
  <si>
    <t>/1000</t>
  </si>
  <si>
    <t>Brand:</t>
  </si>
  <si>
    <t>PC Sum:</t>
  </si>
  <si>
    <t>Bond:</t>
  </si>
  <si>
    <t>Bricks/m2:</t>
  </si>
  <si>
    <t>Brick/m2</t>
  </si>
  <si>
    <t>Stretcher</t>
  </si>
  <si>
    <t>English</t>
  </si>
  <si>
    <t>Flemish</t>
  </si>
  <si>
    <t>Half brick wall in facing bricks to blend with the existing in 1:1:6 CTM as skin of cavity wall, pointed AWP</t>
  </si>
  <si>
    <t>Waste:</t>
  </si>
  <si>
    <t>TBA</t>
  </si>
  <si>
    <t>Celotex</t>
  </si>
  <si>
    <t>Price</t>
  </si>
  <si>
    <t>TB</t>
  </si>
  <si>
    <t>GA</t>
  </si>
  <si>
    <t>Range</t>
  </si>
  <si>
    <t>25mm thick</t>
  </si>
  <si>
    <t>30mm thick</t>
  </si>
  <si>
    <t>40mm thick</t>
  </si>
  <si>
    <t>50mm thick</t>
  </si>
  <si>
    <t>60mm thick</t>
  </si>
  <si>
    <t>70mm thick</t>
  </si>
  <si>
    <t>75mm thick</t>
  </si>
  <si>
    <t>80mm thick</t>
  </si>
  <si>
    <t>90mm thick</t>
  </si>
  <si>
    <t>100mm thick</t>
  </si>
  <si>
    <t>Cavity including cavity wall insulation &amp; wall ties</t>
  </si>
  <si>
    <t>Labour Analysis</t>
  </si>
  <si>
    <t>Bricklayer rates</t>
  </si>
  <si>
    <t>Facings</t>
  </si>
  <si>
    <t>Blocks</t>
  </si>
  <si>
    <t>/m2</t>
  </si>
  <si>
    <t>/day</t>
  </si>
  <si>
    <t>Total labour</t>
  </si>
  <si>
    <t>Days</t>
  </si>
  <si>
    <t>Hour</t>
  </si>
  <si>
    <t>Gang rate (2&amp;1)</t>
  </si>
  <si>
    <t>Measured labour</t>
  </si>
  <si>
    <t>Uplift for labourer</t>
  </si>
  <si>
    <t>Commons</t>
  </si>
  <si>
    <t>Cavity c/w wall ties &amp; lean-mix cavity fill</t>
  </si>
  <si>
    <t>wide</t>
  </si>
  <si>
    <t>Groundwork rates</t>
  </si>
  <si>
    <t>Hour:</t>
  </si>
  <si>
    <t>Tradesman:</t>
  </si>
  <si>
    <t>Labourer:</t>
  </si>
  <si>
    <t>Gang rate (1&amp;1)</t>
  </si>
  <si>
    <t>Uplift to full days</t>
  </si>
  <si>
    <t>Uplift to:</t>
  </si>
  <si>
    <t>Carried Forward</t>
  </si>
  <si>
    <t>Machine &amp; Driver</t>
  </si>
  <si>
    <t>Day rate:</t>
  </si>
  <si>
    <t>Dig rate (beds):</t>
  </si>
  <si>
    <t>m3/hour</t>
  </si>
  <si>
    <t>Dig rate (trenches):</t>
  </si>
  <si>
    <t>Waste disposal (lorry)</t>
  </si>
  <si>
    <t>Cost per load:</t>
  </si>
  <si>
    <t>Volume per load:</t>
  </si>
  <si>
    <t>m3</t>
  </si>
  <si>
    <t>Measured waste</t>
  </si>
  <si>
    <t>Loads:</t>
  </si>
  <si>
    <t>Uplift to full loads:</t>
  </si>
  <si>
    <t>Total waste (lorry)</t>
  </si>
  <si>
    <t>Waste disposal (skip)</t>
  </si>
  <si>
    <t>Labour U/lift</t>
  </si>
  <si>
    <t>Plant U/lift</t>
  </si>
  <si>
    <t>Carepentry - Windows &amp; Doors</t>
  </si>
  <si>
    <t>Carepentry - Carcassing</t>
  </si>
  <si>
    <t>Carepentry - First-fix</t>
  </si>
  <si>
    <t>Carepentry - Second-fix</t>
  </si>
  <si>
    <t>Part remove excavated materials from site</t>
  </si>
  <si>
    <t>Plant Analysis</t>
  </si>
  <si>
    <t>Excavate to reduce levels for driveway (Approx. 300mm)</t>
  </si>
  <si>
    <t>Drainage (Storm - Machine)</t>
  </si>
  <si>
    <t>Drainage (Foul - Machine)</t>
  </si>
  <si>
    <t>General Demolitions (skip)</t>
  </si>
  <si>
    <t>Total waste (skip)</t>
  </si>
  <si>
    <t>Manufacturer</t>
  </si>
  <si>
    <t>Material Analysis</t>
  </si>
  <si>
    <t>Category</t>
  </si>
  <si>
    <t>Aggregate</t>
  </si>
  <si>
    <t>Hardcore</t>
  </si>
  <si>
    <t>Sand</t>
  </si>
  <si>
    <t>Concrete</t>
  </si>
  <si>
    <t>Founds</t>
  </si>
  <si>
    <t>Floors</t>
  </si>
  <si>
    <t>Size/Grade</t>
  </si>
  <si>
    <t>Bricks</t>
  </si>
  <si>
    <t>Common</t>
  </si>
  <si>
    <t>Facing</t>
  </si>
  <si>
    <t>Timber</t>
  </si>
  <si>
    <t>Softwood</t>
  </si>
  <si>
    <t>Floor joists</t>
  </si>
  <si>
    <t>Timber frame</t>
  </si>
  <si>
    <t>Plate</t>
  </si>
  <si>
    <t>Ridge</t>
  </si>
  <si>
    <t>Purlins</t>
  </si>
  <si>
    <t>Valley</t>
  </si>
  <si>
    <t>Hips</t>
  </si>
  <si>
    <t>Ceiling joists</t>
  </si>
  <si>
    <t>Rafters</t>
  </si>
  <si>
    <t>Roof joists</t>
  </si>
  <si>
    <t>Internal walls</t>
  </si>
  <si>
    <t>Boxings</t>
  </si>
  <si>
    <t>50 x 50mm</t>
  </si>
  <si>
    <t>Misc. framing</t>
  </si>
  <si>
    <t>Insulation</t>
  </si>
  <si>
    <t>Application</t>
  </si>
  <si>
    <t>Walls to DPC</t>
  </si>
  <si>
    <t>External Walls</t>
  </si>
  <si>
    <t>Dritherm</t>
  </si>
  <si>
    <t>Beds</t>
  </si>
  <si>
    <t>Type 1</t>
  </si>
  <si>
    <t>Internal Walls</t>
  </si>
  <si>
    <t>Internal Skins</t>
  </si>
  <si>
    <t>G/f Insulation</t>
  </si>
  <si>
    <t>Cav. Wall Insulation</t>
  </si>
  <si>
    <t>Sheet Materials</t>
  </si>
  <si>
    <t>Floor boards</t>
  </si>
  <si>
    <t>Chipboard</t>
  </si>
  <si>
    <t>Roof decking</t>
  </si>
  <si>
    <t>Plywood</t>
  </si>
  <si>
    <t>Metalwork</t>
  </si>
  <si>
    <t>Wall Starters</t>
  </si>
  <si>
    <t>Cavity Closers</t>
  </si>
  <si>
    <t>Thermabate</t>
  </si>
  <si>
    <t>Joist hangers</t>
  </si>
  <si>
    <t>Holding down straps</t>
  </si>
  <si>
    <t>Restraint straps</t>
  </si>
  <si>
    <t>Lintels</t>
  </si>
  <si>
    <t>Steel</t>
  </si>
  <si>
    <t>Stonework</t>
  </si>
  <si>
    <t>Heads</t>
  </si>
  <si>
    <t>Cills</t>
  </si>
  <si>
    <t>Doors</t>
  </si>
  <si>
    <t>Garage Doors</t>
  </si>
  <si>
    <t>Rooflights</t>
  </si>
  <si>
    <t>Internal Joinery</t>
  </si>
  <si>
    <t>Window Boards</t>
  </si>
  <si>
    <t>Staircases</t>
  </si>
  <si>
    <t>Architraves</t>
  </si>
  <si>
    <t>Internal Doors</t>
  </si>
  <si>
    <t>Skirting Board</t>
  </si>
  <si>
    <t>Loft Hatch</t>
  </si>
  <si>
    <t>Firrings</t>
  </si>
  <si>
    <t>Roof Trusses</t>
  </si>
  <si>
    <t>Fink</t>
  </si>
  <si>
    <t>Tiles</t>
  </si>
  <si>
    <t>Wall Tiles</t>
  </si>
  <si>
    <t>Ceramic</t>
  </si>
  <si>
    <t>Floor Tiles</t>
  </si>
  <si>
    <t>Guttering</t>
  </si>
  <si>
    <t>Gutter</t>
  </si>
  <si>
    <t>Stop ends</t>
  </si>
  <si>
    <t>Running outlets</t>
  </si>
  <si>
    <t>Angles</t>
  </si>
  <si>
    <t>Downpipe</t>
  </si>
  <si>
    <t>Shoes</t>
  </si>
  <si>
    <t>Pipe</t>
  </si>
  <si>
    <t>Rest bends</t>
  </si>
  <si>
    <t>Inlet Gulley</t>
  </si>
  <si>
    <t>Rodding Eye</t>
  </si>
  <si>
    <t>Junction</t>
  </si>
  <si>
    <t>Miscellaneous</t>
  </si>
  <si>
    <t>Damp-proof course</t>
  </si>
  <si>
    <t>Mesh reinforcement</t>
  </si>
  <si>
    <t>Vapour Control Layer</t>
  </si>
  <si>
    <t>Damp-proof membrane</t>
  </si>
  <si>
    <t>PPIC</t>
  </si>
  <si>
    <t>Manhole rings</t>
  </si>
  <si>
    <t>Cover slabs</t>
  </si>
  <si>
    <t>Manhole covers</t>
  </si>
  <si>
    <t>Soakaway crates</t>
  </si>
  <si>
    <t>Geotextile membrane</t>
  </si>
  <si>
    <t>External Finishes</t>
  </si>
  <si>
    <t>Weatherboarding</t>
  </si>
  <si>
    <t>Paving Slabs</t>
  </si>
  <si>
    <t>Path Edgings</t>
  </si>
  <si>
    <t>Blinded and well-compacted hardcore sub-base</t>
  </si>
  <si>
    <t>Half brick</t>
  </si>
  <si>
    <t>Manholes</t>
  </si>
  <si>
    <t>Garden Walls</t>
  </si>
  <si>
    <t>100mm</t>
  </si>
  <si>
    <t>Offset Bends</t>
  </si>
  <si>
    <t>General Demolitions</t>
  </si>
  <si>
    <t>Groundwork (Beam &amp; Block)</t>
  </si>
  <si>
    <t>Carpentry (First-fix)</t>
  </si>
  <si>
    <t>Plaster, Drylining &amp; Insulation</t>
  </si>
  <si>
    <t>Below Ground Drain (Storm - Machine)</t>
  </si>
  <si>
    <t>Below Ground Drain (Foul - Machine)</t>
  </si>
  <si>
    <t>Waste</t>
  </si>
  <si>
    <t>Net Price</t>
  </si>
  <si>
    <t>Sub-totals</t>
  </si>
  <si>
    <t>Type</t>
  </si>
  <si>
    <t>Class A</t>
  </si>
  <si>
    <t>Class B</t>
  </si>
  <si>
    <t>Half Brick</t>
  </si>
  <si>
    <t>One Brick</t>
  </si>
  <si>
    <t>One &amp; Half Brick</t>
  </si>
  <si>
    <t>Thickness</t>
  </si>
  <si>
    <t>One &amp; a Half Brick</t>
  </si>
  <si>
    <t>Measured</t>
  </si>
  <si>
    <t>Size</t>
  </si>
  <si>
    <t>Price per ln. m.</t>
  </si>
  <si>
    <t>Sw (Treated)</t>
  </si>
  <si>
    <t>Sw (Untreated)</t>
  </si>
  <si>
    <t>50 x 75mm</t>
  </si>
  <si>
    <t>50 x 100mm</t>
  </si>
  <si>
    <t>50 x 125mm</t>
  </si>
  <si>
    <t>50 x 150mm</t>
  </si>
  <si>
    <t>50 x 175mm</t>
  </si>
  <si>
    <t>50 x 200mm</t>
  </si>
  <si>
    <t>50 x 225mm</t>
  </si>
  <si>
    <t>CLS</t>
  </si>
  <si>
    <t>PAR</t>
  </si>
  <si>
    <t>SwUntreated</t>
  </si>
  <si>
    <t>SwTreated</t>
  </si>
  <si>
    <t>Gravel</t>
  </si>
  <si>
    <t>ST1</t>
  </si>
  <si>
    <t>ST2</t>
  </si>
  <si>
    <t>ST3</t>
  </si>
  <si>
    <t>ST4</t>
  </si>
  <si>
    <t>ST5</t>
  </si>
  <si>
    <t>10mm</t>
  </si>
  <si>
    <t>20mm</t>
  </si>
  <si>
    <t>Coarse</t>
  </si>
  <si>
    <t>Grade</t>
  </si>
  <si>
    <t>XR</t>
  </si>
  <si>
    <t>TD</t>
  </si>
  <si>
    <t>110mm thick</t>
  </si>
  <si>
    <t>120mm thick</t>
  </si>
  <si>
    <t>130mm thick</t>
  </si>
  <si>
    <t>140mm thick</t>
  </si>
  <si>
    <t>Kingspan</t>
  </si>
  <si>
    <t>Earthwool</t>
  </si>
  <si>
    <t>Rockwool</t>
  </si>
  <si>
    <t>Flat Roof Insulation</t>
  </si>
  <si>
    <t>Loft Insulation</t>
  </si>
  <si>
    <t>Insulation between Rafters</t>
  </si>
  <si>
    <t>Insulation below Rafters</t>
  </si>
  <si>
    <t>Separating Floors</t>
  </si>
  <si>
    <t>K3</t>
  </si>
  <si>
    <t>K7</t>
  </si>
  <si>
    <t>TP</t>
  </si>
  <si>
    <t>K_3</t>
  </si>
  <si>
    <t>K_7</t>
  </si>
  <si>
    <t>TB4012 - 12mm thick</t>
  </si>
  <si>
    <t>TB4025 - 25mm thick</t>
  </si>
  <si>
    <t>TB4020 - 20mm thick</t>
  </si>
  <si>
    <t>TB4030 - 30mm thick</t>
  </si>
  <si>
    <t>TB4035 - 35mm thick</t>
  </si>
  <si>
    <t>TB4040 - 40mm thick</t>
  </si>
  <si>
    <t>TB4045 - 45mm thick</t>
  </si>
  <si>
    <t>GA4050 - 50mm thick</t>
  </si>
  <si>
    <t>GA4050 - 55mm thick</t>
  </si>
  <si>
    <t>GA4060 - 60mm thick</t>
  </si>
  <si>
    <t>GA4065 - 65mm thick</t>
  </si>
  <si>
    <t>GA4070 - 70mm thick</t>
  </si>
  <si>
    <t>GA4075 - 75mm thick</t>
  </si>
  <si>
    <t>GA4080 - 80mm thick</t>
  </si>
  <si>
    <t>GA4085 - 85mm thick</t>
  </si>
  <si>
    <t>GA4090 - 90mm thick</t>
  </si>
  <si>
    <t>GA4095 - 95mm thick</t>
  </si>
  <si>
    <t>GA4100 - 100mm thick</t>
  </si>
  <si>
    <t>XR4110 - 110mm thick</t>
  </si>
  <si>
    <t>XR4120 - 120mm thick</t>
  </si>
  <si>
    <t>XR4130 - 130mm thick</t>
  </si>
  <si>
    <t>XR4140 - 140mm thick</t>
  </si>
  <si>
    <t>XR4150 - 150mm thick</t>
  </si>
  <si>
    <t>XR4165 - 165mm thick</t>
  </si>
  <si>
    <t>XR4200 - 200mm thick</t>
  </si>
  <si>
    <t>TD4096 - 96mm thick</t>
  </si>
  <si>
    <t>TD4106 - 106mm thick</t>
  </si>
  <si>
    <t>TD4116 - 116mm thick</t>
  </si>
  <si>
    <t>TD4126 - 126mm thick</t>
  </si>
  <si>
    <t>Loft Roll</t>
  </si>
  <si>
    <t>Acoustic Roll</t>
  </si>
  <si>
    <t>LR44 - 100mm thick</t>
  </si>
  <si>
    <t>LR44 - 150mm thick</t>
  </si>
  <si>
    <t>LR44 - 170mm thick</t>
  </si>
  <si>
    <t>LR44 - 200mm thick</t>
  </si>
  <si>
    <t>AR - 25mm thick</t>
  </si>
  <si>
    <t>AR - 50mm thick</t>
  </si>
  <si>
    <t>AR - 75mm thick</t>
  </si>
  <si>
    <t>AR - 100mm thick</t>
  </si>
  <si>
    <t>Dri 32 - 65mm thick</t>
  </si>
  <si>
    <t>Dri 32 - 75mm thick</t>
  </si>
  <si>
    <t>Dri 32 - 85mm thick</t>
  </si>
  <si>
    <t>Dri 32 - 100mm thick</t>
  </si>
  <si>
    <t>Flexi</t>
  </si>
  <si>
    <t>RCI - 50mm thick</t>
  </si>
  <si>
    <t>RCI - 65mm thick</t>
  </si>
  <si>
    <t>RCI - 80mm thick</t>
  </si>
  <si>
    <t>RCI - 100mm thick</t>
  </si>
  <si>
    <t xml:space="preserve">Flexi </t>
  </si>
  <si>
    <t>RWF - 50mm thick</t>
  </si>
  <si>
    <t>RWF - 60mm thick</t>
  </si>
  <si>
    <t>RWF - 70mm thick</t>
  </si>
  <si>
    <t>RWF - 90mm thick</t>
  </si>
  <si>
    <t>RWF - 100mm thick</t>
  </si>
  <si>
    <t>LoftRoll</t>
  </si>
  <si>
    <t>AcousticRoll</t>
  </si>
  <si>
    <t>CavitySlab</t>
  </si>
  <si>
    <t>Loft Insulation (over joists)</t>
  </si>
  <si>
    <t>MDF</t>
  </si>
  <si>
    <t>OSB</t>
  </si>
  <si>
    <t>PW - 9mm thick</t>
  </si>
  <si>
    <t>PW - 12mm thick</t>
  </si>
  <si>
    <t>PW - 18mm thick</t>
  </si>
  <si>
    <t>PW - 24mm thick</t>
  </si>
  <si>
    <t>CBF - 18mm thick</t>
  </si>
  <si>
    <t>CBF - 22mm thick</t>
  </si>
  <si>
    <t>MDF - 9mm thick</t>
  </si>
  <si>
    <t>MDF - 12mm thick</t>
  </si>
  <si>
    <t>MDF - 18mm thick</t>
  </si>
  <si>
    <t>MDF - 25mm thick</t>
  </si>
  <si>
    <t>OSB - 9mm thick</t>
  </si>
  <si>
    <t>OSB - 11mm thick</t>
  </si>
  <si>
    <t>OSB - 15mm thick</t>
  </si>
  <si>
    <t>OSB - 18mm thick</t>
  </si>
  <si>
    <t>Cladding</t>
  </si>
  <si>
    <t>50mm wide</t>
  </si>
  <si>
    <t>65mm wide</t>
  </si>
  <si>
    <t>75mm wide</t>
  </si>
  <si>
    <t>85mm wide</t>
  </si>
  <si>
    <t>90mm wide</t>
  </si>
  <si>
    <t>100mm wide</t>
  </si>
  <si>
    <t>I.G.</t>
  </si>
  <si>
    <t>Catnic</t>
  </si>
  <si>
    <t>75mm</t>
  </si>
  <si>
    <t>L1/S75 - 600mm</t>
  </si>
  <si>
    <t>L1/S75 - 900mm</t>
  </si>
  <si>
    <t>L1/S75 - 1050mm</t>
  </si>
  <si>
    <t>L1/S75 - 1200mm</t>
  </si>
  <si>
    <t>L1/S75 - 1350mm</t>
  </si>
  <si>
    <t>L1/S75 - 1500mm</t>
  </si>
  <si>
    <t>L1/S75 - 1650mm</t>
  </si>
  <si>
    <t>L1/S75 - 1800mm</t>
  </si>
  <si>
    <t>L1/S75 - 1950mm</t>
  </si>
  <si>
    <t>L1/S75 - 2100mm</t>
  </si>
  <si>
    <t>L1/S75 - 2250mm</t>
  </si>
  <si>
    <t>L1/S75 - 2550mm</t>
  </si>
  <si>
    <t>L1/S75 - 2400mm</t>
  </si>
  <si>
    <t>L1/S75 - 2700mm</t>
  </si>
  <si>
    <t>L1/S75 - 2850mm</t>
  </si>
  <si>
    <t>L1/S75 - 3000mm</t>
  </si>
  <si>
    <t>L1/S75 - 750mm</t>
  </si>
  <si>
    <t>L1/S100 - 750mm</t>
  </si>
  <si>
    <t>S_75</t>
  </si>
  <si>
    <t>S_100</t>
  </si>
  <si>
    <t>Box_100</t>
  </si>
  <si>
    <t>Box 100</t>
  </si>
  <si>
    <t>Box_200</t>
  </si>
  <si>
    <t>Box 100 - 600mm</t>
  </si>
  <si>
    <t>Box 100 - 750mm</t>
  </si>
  <si>
    <t>Box 100 - 900mm</t>
  </si>
  <si>
    <t>Box 100 - 1050mm</t>
  </si>
  <si>
    <t>Box 100 - 1200mm</t>
  </si>
  <si>
    <t>Box 100 - 1350mm</t>
  </si>
  <si>
    <t>Box 100 - 1500mm</t>
  </si>
  <si>
    <t>Box 100 - 1650mm</t>
  </si>
  <si>
    <t>Box 100 - 1800mm</t>
  </si>
  <si>
    <t>Box 100 - 1950mm</t>
  </si>
  <si>
    <t>Box 100 - 2100mm</t>
  </si>
  <si>
    <t>Box 100 - 2250mm</t>
  </si>
  <si>
    <t>Box 100 - 2400mm</t>
  </si>
  <si>
    <t>Box 100 - 2550mm</t>
  </si>
  <si>
    <t>Box 100 - 2700mm</t>
  </si>
  <si>
    <t>Box 100 - 2850mm</t>
  </si>
  <si>
    <t>Box 100 - 3000mm</t>
  </si>
  <si>
    <t>Box 200</t>
  </si>
  <si>
    <t>Box 200 - 600mm</t>
  </si>
  <si>
    <t>Box 200 - 750mm</t>
  </si>
  <si>
    <t>Box 200 - 900mm</t>
  </si>
  <si>
    <t>Box 200 - 1050mm</t>
  </si>
  <si>
    <t>Box 200 - 1200mm</t>
  </si>
  <si>
    <t>Box 200 - 1350mm</t>
  </si>
  <si>
    <t>Box 200 - 1500mm</t>
  </si>
  <si>
    <t>Box 200 - 1650mm</t>
  </si>
  <si>
    <t>Box 200 - 1800mm</t>
  </si>
  <si>
    <t>Box 200 - 1950mm</t>
  </si>
  <si>
    <t>Box 200 - 2100mm</t>
  </si>
  <si>
    <t>Box 200 - 2250mm</t>
  </si>
  <si>
    <t>Box 200 - 2400mm</t>
  </si>
  <si>
    <t>Box 200 - 2550mm</t>
  </si>
  <si>
    <t>Box 200 - 2700mm</t>
  </si>
  <si>
    <t>Box 200 - 2850mm</t>
  </si>
  <si>
    <t>Box 200 - 3000mm</t>
  </si>
  <si>
    <t>Thickness:</t>
  </si>
  <si>
    <t>Block Type</t>
  </si>
  <si>
    <t>Celcon</t>
  </si>
  <si>
    <t>Thermalite</t>
  </si>
  <si>
    <t>Standard</t>
  </si>
  <si>
    <t>Solar</t>
  </si>
  <si>
    <t>CC - 100mm</t>
  </si>
  <si>
    <t>CC - 215mm</t>
  </si>
  <si>
    <t>CCSO - 100mm</t>
  </si>
  <si>
    <t>CCSO - 215mm</t>
  </si>
  <si>
    <t>Shield</t>
  </si>
  <si>
    <t>Turbo</t>
  </si>
  <si>
    <t>TLS - 100mm</t>
  </si>
  <si>
    <t>TLT - 215mm</t>
  </si>
  <si>
    <t>CC - 150mm</t>
  </si>
  <si>
    <t>Model:</t>
  </si>
  <si>
    <t>Size:</t>
  </si>
  <si>
    <t>Blockwork as before: - As internal partition wall</t>
  </si>
  <si>
    <r>
      <t>3.5N/mm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blockwork laid half-bond in 1:1:6 CTM as inner skin of cavity wall</t>
    </r>
  </si>
  <si>
    <t>Angle Bead</t>
  </si>
  <si>
    <t>Insulation to timber frame</t>
  </si>
  <si>
    <t>Wall cladding</t>
  </si>
  <si>
    <t>Pentice Boards</t>
  </si>
  <si>
    <t>Cedar</t>
  </si>
  <si>
    <t>Siberian Larch</t>
  </si>
  <si>
    <t>Thermowood</t>
  </si>
  <si>
    <t>SFE - 150 x 28mm</t>
  </si>
  <si>
    <t>SFE - 200 x 28mm</t>
  </si>
  <si>
    <t>SSL - 125 x 19mm</t>
  </si>
  <si>
    <t>SSL - 150 x 19mm</t>
  </si>
  <si>
    <t>STGV - 100 x 19mm</t>
  </si>
  <si>
    <t>STGV - 125 x 25mm</t>
  </si>
  <si>
    <t>CFE - 191 x 12mm</t>
  </si>
  <si>
    <t>CFE - 140 x 12mm</t>
  </si>
  <si>
    <t>CFE - 186 x 19mm</t>
  </si>
  <si>
    <t>CSL - 144 x 9mm</t>
  </si>
  <si>
    <t>LSL - 146 x 21mm</t>
  </si>
  <si>
    <t>LFE - 146 x 22mm</t>
  </si>
  <si>
    <t>CTGV - 94 x 19mm</t>
  </si>
  <si>
    <t>CTGV - 137 x 19mm</t>
  </si>
  <si>
    <t>CTGV - 144 x 19mm</t>
  </si>
  <si>
    <t>LTGV - 96 x 21mm</t>
  </si>
  <si>
    <t>LTGV - 121 x 21mm</t>
  </si>
  <si>
    <t>LTGV - 146 x 21mm</t>
  </si>
  <si>
    <t>TSL - 118 x 21mm</t>
  </si>
  <si>
    <t>TTGV - 118 x 21mm</t>
  </si>
  <si>
    <t>CShiplap</t>
  </si>
  <si>
    <t>CTGV</t>
  </si>
  <si>
    <t>SShiplap</t>
  </si>
  <si>
    <t>SiberianLarch</t>
  </si>
  <si>
    <t>STGV</t>
  </si>
  <si>
    <t>LShiplap</t>
  </si>
  <si>
    <t>LTGV</t>
  </si>
  <si>
    <t>TShiplap</t>
  </si>
  <si>
    <t>TTGV</t>
  </si>
  <si>
    <t>SF_edge</t>
  </si>
  <si>
    <t>CF_edge</t>
  </si>
  <si>
    <t>LF_edge</t>
  </si>
  <si>
    <t>Type:</t>
  </si>
  <si>
    <t>Material:</t>
  </si>
  <si>
    <t>ton</t>
  </si>
  <si>
    <t>Softwood floor joists @ 400mm c/c's</t>
  </si>
  <si>
    <t>Floor boarding to floor joists</t>
  </si>
  <si>
    <t>Fascias/Soffits</t>
  </si>
  <si>
    <t>UPVC</t>
  </si>
  <si>
    <t>150 x 25mm</t>
  </si>
  <si>
    <t>175 x 25mm</t>
  </si>
  <si>
    <t>200 x 25mm</t>
  </si>
  <si>
    <t>225 x 25mm</t>
  </si>
  <si>
    <t>150 x 20mm</t>
  </si>
  <si>
    <t>175 x 20mm</t>
  </si>
  <si>
    <t>200 x 20mm</t>
  </si>
  <si>
    <t>225 x 20mm</t>
  </si>
  <si>
    <t>250 x 25mm</t>
  </si>
  <si>
    <t>250 x 20mm</t>
  </si>
  <si>
    <t>300 x 25mm</t>
  </si>
  <si>
    <t>350 x 25mm</t>
  </si>
  <si>
    <t>150 x 6mm</t>
  </si>
  <si>
    <t>200 x 6mm</t>
  </si>
  <si>
    <t>250 x 6mm</t>
  </si>
  <si>
    <t>300 x 6mm</t>
  </si>
  <si>
    <t>150 x 9mm</t>
  </si>
  <si>
    <t>200 x 9mm</t>
  </si>
  <si>
    <t>250 x 9mm</t>
  </si>
  <si>
    <t>300 x 9mm</t>
  </si>
  <si>
    <t>SoftwoodFascia</t>
  </si>
  <si>
    <t>PlywoodFascia</t>
  </si>
  <si>
    <t>Fascias &amp; Barge Boards</t>
  </si>
  <si>
    <t>Soffits</t>
  </si>
  <si>
    <t>Fascia &amp; barge board</t>
  </si>
  <si>
    <t>Soffit complete with framing as necessary</t>
  </si>
  <si>
    <t>Trusses</t>
  </si>
  <si>
    <t>Attic</t>
  </si>
  <si>
    <t>Raised Chord</t>
  </si>
  <si>
    <t>Mono</t>
  </si>
  <si>
    <t>Flat</t>
  </si>
  <si>
    <t>Felt</t>
  </si>
  <si>
    <t>Single-ply</t>
  </si>
  <si>
    <t>Copper</t>
  </si>
  <si>
    <t>Zinc</t>
  </si>
  <si>
    <t>Insulated single-ply</t>
  </si>
  <si>
    <t>Pitched</t>
  </si>
  <si>
    <t>Concrete Intelocking</t>
  </si>
  <si>
    <t>Slate</t>
  </si>
  <si>
    <t>Reclaimed Slate</t>
  </si>
  <si>
    <t>Clay Pantiles</t>
  </si>
  <si>
    <t>Clay Plain Tiles</t>
  </si>
  <si>
    <t>Roof tiles laid to 25 x 38mm tanalised softwood battens fixed through and including sarking felt</t>
  </si>
  <si>
    <t>Dormer Windows</t>
  </si>
  <si>
    <t>Softwood in stud partition walls</t>
  </si>
  <si>
    <t>Softwood in boxing to pipework</t>
  </si>
  <si>
    <t>Linings</t>
  </si>
  <si>
    <t>SW_Lining</t>
  </si>
  <si>
    <t>HW_Lining</t>
  </si>
  <si>
    <t>SW_lining</t>
  </si>
  <si>
    <t>SW - 107 x 33mm</t>
  </si>
  <si>
    <t>SW - 133 x 33mm</t>
  </si>
  <si>
    <t>SW - 150 x 33mm</t>
  </si>
  <si>
    <t>HW - 107 x 33mm</t>
  </si>
  <si>
    <t>HW - 133 x 33mm</t>
  </si>
  <si>
    <t>HW - 150 x 33mm</t>
  </si>
  <si>
    <t>HW_lining</t>
  </si>
  <si>
    <t>Door Linings (inc stops)</t>
  </si>
  <si>
    <t>Door lining complete with door stop</t>
  </si>
  <si>
    <t>Window board</t>
  </si>
  <si>
    <t>Window Board</t>
  </si>
  <si>
    <t>SW_Board</t>
  </si>
  <si>
    <t>HW_Board</t>
  </si>
  <si>
    <t>SW - 200 x 25mm</t>
  </si>
  <si>
    <t>HW - 200 x 25mm</t>
  </si>
  <si>
    <t>Allow the sum of for supply staircase, c/w newels, handrails and balustrades as nec</t>
  </si>
  <si>
    <t>Stairs</t>
  </si>
  <si>
    <t>SW_Stairs</t>
  </si>
  <si>
    <t>HW_Stairs</t>
  </si>
  <si>
    <t>SW - Straight</t>
  </si>
  <si>
    <t>SW - Winder</t>
  </si>
  <si>
    <t>HW - Straight</t>
  </si>
  <si>
    <t>HW - Winder</t>
  </si>
  <si>
    <t>Insulation to flat ceilings</t>
  </si>
  <si>
    <t>Ditto: - Over joists</t>
  </si>
  <si>
    <t>Insulation between floor joists to g/f ceilings</t>
  </si>
  <si>
    <t>Insulation to partition walls</t>
  </si>
  <si>
    <t>Insulation to pipe boxings</t>
  </si>
  <si>
    <t>Dormer Walls</t>
  </si>
  <si>
    <t>SW_Arch</t>
  </si>
  <si>
    <t>HW_Arch</t>
  </si>
  <si>
    <t>SW - Bullnose</t>
  </si>
  <si>
    <t>SW - Chamfered</t>
  </si>
  <si>
    <t>SW - Torus</t>
  </si>
  <si>
    <t>SW - Ogee</t>
  </si>
  <si>
    <t>SW - Ovolo</t>
  </si>
  <si>
    <t>HW - Bullnose</t>
  </si>
  <si>
    <t>HW - Chamfered</t>
  </si>
  <si>
    <t>HW - Torus</t>
  </si>
  <si>
    <t>HW - Ogee</t>
  </si>
  <si>
    <t>HW - Ovolo</t>
  </si>
  <si>
    <t>PC Sum</t>
  </si>
  <si>
    <t>PC Sum (inc ironmongery)</t>
  </si>
  <si>
    <t>SW_Skirting</t>
  </si>
  <si>
    <t>HW_Skirting</t>
  </si>
  <si>
    <t>Stone</t>
  </si>
  <si>
    <t>Mosaic</t>
  </si>
  <si>
    <t>UPVC - Gutter</t>
  </si>
  <si>
    <t>UPVC - Stop End</t>
  </si>
  <si>
    <t>UPVC - Running Outlet</t>
  </si>
  <si>
    <t>UPVC - Angle</t>
  </si>
  <si>
    <t>UPVC - Shoe</t>
  </si>
  <si>
    <t>UPVC - Hopper</t>
  </si>
  <si>
    <t>AL - Gutter</t>
  </si>
  <si>
    <t>AL - Stop End</t>
  </si>
  <si>
    <t>AL - Running Outlet</t>
  </si>
  <si>
    <t>AL - Angle</t>
  </si>
  <si>
    <t>AL - Downpipe</t>
  </si>
  <si>
    <t>AL - Shoe</t>
  </si>
  <si>
    <t>AL - Hopper</t>
  </si>
  <si>
    <t>UPVC - Downpipe</t>
  </si>
  <si>
    <t>CI - Gutter</t>
  </si>
  <si>
    <t>CI - Stop End</t>
  </si>
  <si>
    <t>CI - Running Outlet</t>
  </si>
  <si>
    <t>CI - Angle</t>
  </si>
  <si>
    <t>CI - Downpipe</t>
  </si>
  <si>
    <t>CI - Shoe</t>
  </si>
  <si>
    <t>CI - Hopper</t>
  </si>
  <si>
    <t>AL - Offset Bend</t>
  </si>
  <si>
    <t>CI - Offset Bend</t>
  </si>
  <si>
    <t>UPVC_Gutter</t>
  </si>
  <si>
    <t>AL_Gutter</t>
  </si>
  <si>
    <t>CI_Gutter</t>
  </si>
  <si>
    <t>Gutter, fixed brackets @ max. 900mm c/c's to fascia</t>
  </si>
  <si>
    <t>Item:</t>
  </si>
  <si>
    <t>Aluminium_Gutter</t>
  </si>
  <si>
    <t>Cast Iron_Gutter</t>
  </si>
  <si>
    <t>Hopper</t>
  </si>
  <si>
    <t>Concrete base to manhole rings</t>
  </si>
  <si>
    <t>Sand base to attenuation system</t>
  </si>
  <si>
    <t>Soakaway bases</t>
  </si>
  <si>
    <t>Sand blinding</t>
  </si>
  <si>
    <t>Paving slabs</t>
  </si>
  <si>
    <t>Dormer Roofs</t>
  </si>
  <si>
    <t>Excavate in normal soil for foundation trench for internal walls</t>
  </si>
  <si>
    <t>Half brick wall in common bricks laid stretcher bond in 1:3 CTM, bedded &amp; pointed to DPC level for internal walls</t>
  </si>
  <si>
    <t>Dry-lined to existing walls</t>
  </si>
  <si>
    <t>K18</t>
  </si>
  <si>
    <t>K_18</t>
  </si>
  <si>
    <t>32.5mm thick</t>
  </si>
  <si>
    <t>37.5mm thick</t>
  </si>
  <si>
    <t>42.5mm thick</t>
  </si>
  <si>
    <t>52.5mm thick</t>
  </si>
  <si>
    <t>57.5mm thick</t>
  </si>
  <si>
    <t>62.5mm thick</t>
  </si>
  <si>
    <t>72.5mm thick</t>
  </si>
  <si>
    <t>82.5mm thick</t>
  </si>
  <si>
    <t>92.5mm thick</t>
  </si>
  <si>
    <t>PL</t>
  </si>
  <si>
    <t>PL4015 - 24.5mm thick</t>
  </si>
  <si>
    <t>PL4025 - 37.5mm thick</t>
  </si>
  <si>
    <t>PL4040 - 52.5mm thick</t>
  </si>
  <si>
    <t>PL4050 - 62.5mm thick</t>
  </si>
  <si>
    <t>PL4055 - 67.5mm thick</t>
  </si>
  <si>
    <t>PL4060 - 72.5mm thick</t>
  </si>
  <si>
    <t>PL4065 - 77.5mm thick</t>
  </si>
  <si>
    <t>Uplift to full days:</t>
  </si>
  <si>
    <t>Insulation upstand to screed perimeter</t>
  </si>
  <si>
    <t>Perimeter upstand</t>
  </si>
  <si>
    <t>Sanitaryware</t>
  </si>
  <si>
    <t>Total measured labour</t>
  </si>
  <si>
    <t>Total Uplift Carried to summary</t>
  </si>
  <si>
    <t>Total measured plant</t>
  </si>
  <si>
    <t>L1/S100 - 3150mm</t>
  </si>
  <si>
    <t>L1/S100 - 3300mm</t>
  </si>
  <si>
    <t>L1/S100 - 3450mm</t>
  </si>
  <si>
    <t>L1/S100 - 3600mm</t>
  </si>
  <si>
    <t>L1/S100 - 3750mm</t>
  </si>
  <si>
    <t>L1/S100 - 3900mm</t>
  </si>
  <si>
    <t>L1/S100 - 4050mm</t>
  </si>
  <si>
    <t>L1/S100 - 4200mm</t>
  </si>
  <si>
    <t>L1/S100 - 4350mm</t>
  </si>
  <si>
    <t>L1/S100 - 4500mm</t>
  </si>
  <si>
    <t>L1/S100 - 4650mm</t>
  </si>
  <si>
    <t>L1/S100 - 4800mm</t>
  </si>
  <si>
    <t>Station Road, Holme</t>
  </si>
  <si>
    <t>TBC</t>
  </si>
  <si>
    <t>Ditto: - In 2no. Skins as internal cavity wall</t>
  </si>
  <si>
    <t>Extra-over Half brick wall in Facing brick: - Strongarch or similar flat-top rubbed arch</t>
  </si>
  <si>
    <t>Extra-over Half brick wall in Facing brick: - 2no. Course header and stretcher detail</t>
  </si>
  <si>
    <t>Main house</t>
  </si>
  <si>
    <t>Rear roof</t>
  </si>
  <si>
    <t>Low roof</t>
  </si>
  <si>
    <t>Propriatery gang nail trussed rafter system to rear roof</t>
  </si>
  <si>
    <t>Insulated plasterboard to  walls</t>
  </si>
  <si>
    <t>1000mm diameter foul drainage pumping chamber c/w frame and cover</t>
  </si>
  <si>
    <t>2450 x 2100mm rainwater harvesting system</t>
  </si>
  <si>
    <t>Gravel surface to driveway</t>
  </si>
  <si>
    <t>Internal Cavity</t>
  </si>
  <si>
    <t>Rainwater Harvester</t>
  </si>
  <si>
    <t>Foul Pumping Station</t>
  </si>
  <si>
    <t>Strongarch brick lintel/arch</t>
  </si>
  <si>
    <t>835mm</t>
  </si>
  <si>
    <t>1405mm</t>
  </si>
  <si>
    <t>Oil Storage Tank</t>
  </si>
  <si>
    <t>Blue Alkathene Pipe</t>
  </si>
  <si>
    <t>100mm ducting</t>
  </si>
  <si>
    <t>Excavate for concrete manhole</t>
  </si>
  <si>
    <t>Excavate for rainwater attenuation system</t>
  </si>
  <si>
    <t>Excavate for foul water storage tank</t>
  </si>
  <si>
    <t>Extra-over Half brick wall in Facing brick: - 5no. Course projecting corbels</t>
  </si>
  <si>
    <t>Half brick wall in facing bricks in chimney stack</t>
  </si>
  <si>
    <t>Extra-over blockwork: - Facing brick in fireplace enclosure</t>
  </si>
  <si>
    <t>Throat lintel in chimney stack</t>
  </si>
  <si>
    <t>Allow the provisional sum for the supply &amp; installation of wood burner &amp; flue</t>
  </si>
  <si>
    <t>Allow the provisional sum for the supply &amp; installation flue for later use</t>
  </si>
  <si>
    <t>Misc</t>
  </si>
  <si>
    <t>Softwood trimmers</t>
  </si>
  <si>
    <t>1 Example Road</t>
  </si>
  <si>
    <t>Mr. &amp; Mrs. A. Sample</t>
  </si>
  <si>
    <t>BES 00115</t>
  </si>
  <si>
    <t>A. Architects Ltd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</si>
</sst>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28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b/>
      <u/>
      <sz val="24"/>
      <color rgb="FFC00000"/>
      <name val="Calibri"/>
      <family val="2"/>
      <scheme val="minor"/>
    </font>
    <font>
      <b/>
      <u/>
      <sz val="18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rgb="FF008BCB"/>
      <name val="Arial"/>
      <family val="2"/>
    </font>
    <font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Border="1"/>
    <xf numFmtId="2" fontId="0" fillId="0" borderId="2" xfId="0" applyNumberFormat="1" applyBorder="1" applyAlignment="1">
      <alignment wrapText="1"/>
    </xf>
    <xf numFmtId="0" fontId="1" fillId="0" borderId="6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 wrapText="1"/>
    </xf>
    <xf numFmtId="2" fontId="0" fillId="0" borderId="8" xfId="0" applyNumberFormat="1" applyBorder="1" applyAlignment="1">
      <alignment horizontal="center" wrapText="1"/>
    </xf>
    <xf numFmtId="2" fontId="0" fillId="0" borderId="8" xfId="0" applyNumberFormat="1" applyBorder="1" applyAlignment="1">
      <alignment horizontal="center"/>
    </xf>
    <xf numFmtId="164" fontId="0" fillId="0" borderId="10" xfId="0" applyNumberFormat="1" applyBorder="1" applyAlignment="1">
      <alignment wrapText="1"/>
    </xf>
    <xf numFmtId="164" fontId="0" fillId="0" borderId="10" xfId="0" applyNumberFormat="1" applyBorder="1"/>
    <xf numFmtId="2" fontId="0" fillId="0" borderId="0" xfId="0" applyNumberFormat="1" applyBorder="1" applyAlignment="1">
      <alignment horizontal="center" wrapText="1"/>
    </xf>
    <xf numFmtId="2" fontId="0" fillId="0" borderId="2" xfId="0" applyNumberFormat="1" applyBorder="1"/>
    <xf numFmtId="2" fontId="0" fillId="0" borderId="1" xfId="0" applyNumberFormat="1" applyBorder="1" applyAlignment="1">
      <alignment horizontal="right"/>
    </xf>
    <xf numFmtId="2" fontId="0" fillId="0" borderId="3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left" wrapText="1"/>
    </xf>
    <xf numFmtId="2" fontId="0" fillId="0" borderId="12" xfId="0" applyNumberFormat="1" applyBorder="1" applyAlignment="1">
      <alignment wrapText="1"/>
    </xf>
    <xf numFmtId="2" fontId="0" fillId="0" borderId="13" xfId="0" applyNumberFormat="1" applyBorder="1" applyAlignment="1">
      <alignment horizontal="right" wrapText="1"/>
    </xf>
    <xf numFmtId="2" fontId="0" fillId="0" borderId="12" xfId="0" applyNumberFormat="1" applyBorder="1"/>
    <xf numFmtId="2" fontId="0" fillId="0" borderId="1" xfId="0" applyNumberFormat="1" applyBorder="1" applyAlignment="1">
      <alignment horizontal="right" wrapText="1"/>
    </xf>
    <xf numFmtId="2" fontId="0" fillId="0" borderId="1" xfId="0" applyNumberFormat="1" applyBorder="1"/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 wrapText="1"/>
    </xf>
    <xf numFmtId="2" fontId="4" fillId="0" borderId="17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 horizontal="center" wrapText="1"/>
    </xf>
    <xf numFmtId="2" fontId="0" fillId="0" borderId="17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 wrapText="1"/>
    </xf>
    <xf numFmtId="2" fontId="0" fillId="0" borderId="13" xfId="0" applyNumberFormat="1" applyBorder="1" applyAlignment="1">
      <alignment wrapText="1"/>
    </xf>
    <xf numFmtId="164" fontId="0" fillId="0" borderId="17" xfId="0" applyNumberFormat="1" applyBorder="1" applyAlignment="1">
      <alignment wrapText="1"/>
    </xf>
    <xf numFmtId="2" fontId="2" fillId="0" borderId="14" xfId="0" applyNumberFormat="1" applyFont="1" applyBorder="1" applyAlignment="1">
      <alignment horizontal="right" wrapText="1"/>
    </xf>
    <xf numFmtId="2" fontId="0" fillId="0" borderId="16" xfId="0" applyNumberFormat="1" applyBorder="1" applyAlignment="1">
      <alignment horizontal="right" wrapText="1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0" fillId="0" borderId="0" xfId="0" applyBorder="1"/>
    <xf numFmtId="0" fontId="0" fillId="0" borderId="13" xfId="0" applyBorder="1"/>
    <xf numFmtId="164" fontId="0" fillId="0" borderId="17" xfId="0" applyNumberFormat="1" applyBorder="1"/>
    <xf numFmtId="0" fontId="0" fillId="0" borderId="12" xfId="0" applyBorder="1"/>
    <xf numFmtId="0" fontId="0" fillId="0" borderId="2" xfId="0" applyBorder="1"/>
    <xf numFmtId="0" fontId="0" fillId="0" borderId="20" xfId="0" applyBorder="1"/>
    <xf numFmtId="2" fontId="0" fillId="0" borderId="6" xfId="0" applyNumberFormat="1" applyBorder="1" applyAlignment="1">
      <alignment horizontal="center"/>
    </xf>
    <xf numFmtId="0" fontId="8" fillId="0" borderId="1" xfId="0" applyFont="1" applyBorder="1"/>
    <xf numFmtId="2" fontId="0" fillId="0" borderId="16" xfId="0" applyNumberFormat="1" applyBorder="1" applyAlignment="1">
      <alignment wrapText="1"/>
    </xf>
    <xf numFmtId="164" fontId="8" fillId="0" borderId="26" xfId="0" applyNumberFormat="1" applyFont="1" applyBorder="1"/>
    <xf numFmtId="2" fontId="8" fillId="0" borderId="25" xfId="0" applyNumberFormat="1" applyFont="1" applyBorder="1"/>
    <xf numFmtId="164" fontId="9" fillId="0" borderId="10" xfId="0" applyNumberFormat="1" applyFont="1" applyBorder="1" applyAlignment="1">
      <alignment horizontal="right"/>
    </xf>
    <xf numFmtId="2" fontId="0" fillId="0" borderId="13" xfId="0" applyNumberFormat="1" applyBorder="1"/>
    <xf numFmtId="2" fontId="0" fillId="0" borderId="6" xfId="0" applyNumberFormat="1" applyBorder="1"/>
    <xf numFmtId="164" fontId="0" fillId="0" borderId="6" xfId="0" applyNumberFormat="1" applyBorder="1"/>
    <xf numFmtId="2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wrapText="1"/>
    </xf>
    <xf numFmtId="2" fontId="0" fillId="0" borderId="14" xfId="0" applyNumberFormat="1" applyBorder="1" applyAlignment="1">
      <alignment horizontal="right" wrapText="1"/>
    </xf>
    <xf numFmtId="2" fontId="0" fillId="0" borderId="0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0" fillId="0" borderId="8" xfId="0" applyBorder="1"/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10" xfId="0" applyBorder="1"/>
    <xf numFmtId="2" fontId="8" fillId="0" borderId="28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0" fillId="0" borderId="20" xfId="0" applyNumberFormat="1" applyBorder="1" applyAlignment="1">
      <alignment horizontal="right" wrapText="1"/>
    </xf>
    <xf numFmtId="2" fontId="0" fillId="0" borderId="20" xfId="0" applyNumberFormat="1" applyBorder="1" applyAlignment="1">
      <alignment horizontal="right"/>
    </xf>
    <xf numFmtId="2" fontId="1" fillId="0" borderId="12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2" fontId="0" fillId="0" borderId="29" xfId="0" applyNumberFormat="1" applyBorder="1" applyAlignment="1">
      <alignment wrapText="1"/>
    </xf>
    <xf numFmtId="2" fontId="0" fillId="0" borderId="16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 wrapText="1"/>
    </xf>
    <xf numFmtId="2" fontId="0" fillId="0" borderId="13" xfId="0" applyNumberFormat="1" applyBorder="1" applyAlignment="1">
      <alignment horizontal="right" wrapText="1"/>
    </xf>
    <xf numFmtId="2" fontId="2" fillId="0" borderId="0" xfId="0" applyNumberFormat="1" applyFont="1" applyBorder="1"/>
    <xf numFmtId="2" fontId="2" fillId="0" borderId="0" xfId="0" applyNumberFormat="1" applyFont="1" applyBorder="1" applyAlignment="1">
      <alignment horizontal="right"/>
    </xf>
    <xf numFmtId="0" fontId="2" fillId="0" borderId="0" xfId="0" applyFont="1"/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right" wrapText="1"/>
    </xf>
    <xf numFmtId="2" fontId="2" fillId="0" borderId="30" xfId="0" applyNumberFormat="1" applyFont="1" applyBorder="1" applyAlignment="1">
      <alignment horizontal="right" wrapText="1"/>
    </xf>
    <xf numFmtId="2" fontId="0" fillId="0" borderId="11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11" fillId="0" borderId="12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2" fontId="0" fillId="0" borderId="36" xfId="0" applyNumberFormat="1" applyBorder="1" applyAlignment="1">
      <alignment horizontal="right" wrapText="1"/>
    </xf>
    <xf numFmtId="2" fontId="2" fillId="0" borderId="15" xfId="0" applyNumberFormat="1" applyFont="1" applyBorder="1" applyAlignment="1">
      <alignment horizontal="right"/>
    </xf>
    <xf numFmtId="2" fontId="2" fillId="0" borderId="37" xfId="0" applyNumberFormat="1" applyFont="1" applyBorder="1" applyAlignment="1">
      <alignment horizontal="right" wrapText="1"/>
    </xf>
    <xf numFmtId="2" fontId="0" fillId="0" borderId="9" xfId="0" applyNumberFormat="1" applyBorder="1" applyAlignment="1">
      <alignment horizontal="center"/>
    </xf>
    <xf numFmtId="2" fontId="0" fillId="0" borderId="35" xfId="0" applyNumberFormat="1" applyBorder="1" applyAlignment="1">
      <alignment horizontal="right"/>
    </xf>
    <xf numFmtId="0" fontId="0" fillId="0" borderId="13" xfId="0" applyBorder="1" applyAlignment="1">
      <alignment wrapText="1"/>
    </xf>
    <xf numFmtId="0" fontId="0" fillId="0" borderId="6" xfId="0" applyBorder="1"/>
    <xf numFmtId="2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164" fontId="2" fillId="0" borderId="6" xfId="0" applyNumberFormat="1" applyFont="1" applyBorder="1"/>
    <xf numFmtId="2" fontId="2" fillId="0" borderId="7" xfId="0" applyNumberFormat="1" applyFont="1" applyBorder="1"/>
    <xf numFmtId="2" fontId="2" fillId="0" borderId="6" xfId="0" applyNumberFormat="1" applyFont="1" applyBorder="1"/>
    <xf numFmtId="2" fontId="0" fillId="0" borderId="6" xfId="0" applyNumberFormat="1" applyBorder="1" applyAlignment="1">
      <alignment horizontal="right"/>
    </xf>
    <xf numFmtId="2" fontId="0" fillId="0" borderId="16" xfId="0" applyNumberFormat="1" applyBorder="1"/>
    <xf numFmtId="0" fontId="0" fillId="0" borderId="4" xfId="0" applyBorder="1"/>
    <xf numFmtId="2" fontId="1" fillId="0" borderId="12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2" fontId="0" fillId="0" borderId="6" xfId="0" applyNumberFormat="1" applyBorder="1" applyAlignment="1">
      <alignment horizontal="center"/>
    </xf>
    <xf numFmtId="2" fontId="0" fillId="0" borderId="13" xfId="0" applyNumberFormat="1" applyBorder="1" applyAlignment="1">
      <alignment horizontal="right"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2" fontId="2" fillId="0" borderId="14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left" wrapText="1"/>
    </xf>
    <xf numFmtId="2" fontId="2" fillId="0" borderId="40" xfId="0" applyNumberFormat="1" applyFont="1" applyBorder="1" applyAlignment="1">
      <alignment horizontal="right" wrapText="1"/>
    </xf>
    <xf numFmtId="0" fontId="0" fillId="0" borderId="19" xfId="0" applyBorder="1"/>
    <xf numFmtId="0" fontId="0" fillId="0" borderId="24" xfId="0" applyBorder="1"/>
    <xf numFmtId="0" fontId="0" fillId="0" borderId="5" xfId="0" applyBorder="1"/>
    <xf numFmtId="2" fontId="0" fillId="0" borderId="44" xfId="0" applyNumberForma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14" fillId="0" borderId="6" xfId="0" applyFont="1" applyBorder="1" applyAlignment="1">
      <alignment horizontal="center"/>
    </xf>
    <xf numFmtId="0" fontId="0" fillId="0" borderId="16" xfId="0" applyBorder="1"/>
    <xf numFmtId="0" fontId="0" fillId="0" borderId="33" xfId="0" applyBorder="1"/>
    <xf numFmtId="2" fontId="0" fillId="0" borderId="33" xfId="0" applyNumberFormat="1" applyBorder="1"/>
    <xf numFmtId="0" fontId="0" fillId="0" borderId="18" xfId="0" applyBorder="1"/>
    <xf numFmtId="2" fontId="0" fillId="0" borderId="24" xfId="0" applyNumberFormat="1" applyBorder="1"/>
    <xf numFmtId="2" fontId="2" fillId="0" borderId="42" xfId="0" applyNumberFormat="1" applyFont="1" applyBorder="1"/>
    <xf numFmtId="0" fontId="0" fillId="0" borderId="15" xfId="0" applyBorder="1"/>
    <xf numFmtId="2" fontId="0" fillId="0" borderId="43" xfId="0" applyNumberFormat="1" applyBorder="1"/>
    <xf numFmtId="0" fontId="8" fillId="0" borderId="6" xfId="0" applyFont="1" applyBorder="1"/>
    <xf numFmtId="0" fontId="16" fillId="0" borderId="6" xfId="0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18" fillId="0" borderId="13" xfId="0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2" fontId="8" fillId="0" borderId="44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164" fontId="1" fillId="0" borderId="12" xfId="0" applyNumberFormat="1" applyFont="1" applyBorder="1" applyAlignment="1">
      <alignment horizontal="center" wrapText="1"/>
    </xf>
    <xf numFmtId="164" fontId="0" fillId="0" borderId="0" xfId="0" applyNumberFormat="1"/>
    <xf numFmtId="0" fontId="17" fillId="0" borderId="0" xfId="0" applyFont="1"/>
    <xf numFmtId="0" fontId="17" fillId="0" borderId="12" xfId="0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164" fontId="0" fillId="0" borderId="12" xfId="0" applyNumberFormat="1" applyBorder="1"/>
    <xf numFmtId="164" fontId="0" fillId="0" borderId="24" xfId="0" applyNumberFormat="1" applyBorder="1"/>
    <xf numFmtId="164" fontId="0" fillId="0" borderId="15" xfId="0" applyNumberFormat="1" applyBorder="1"/>
    <xf numFmtId="2" fontId="14" fillId="0" borderId="6" xfId="0" applyNumberFormat="1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2" fillId="0" borderId="0" xfId="0" applyFont="1" applyAlignment="1">
      <alignment horizontal="left"/>
    </xf>
    <xf numFmtId="2" fontId="1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15" fillId="0" borderId="0" xfId="0" applyFont="1" applyAlignment="1">
      <alignment horizontal="left"/>
    </xf>
    <xf numFmtId="2" fontId="15" fillId="0" borderId="0" xfId="0" applyNumberFormat="1" applyFont="1" applyAlignment="1">
      <alignment horizontal="left"/>
    </xf>
    <xf numFmtId="0" fontId="15" fillId="0" borderId="6" xfId="0" applyFont="1" applyBorder="1" applyAlignment="1">
      <alignment horizontal="left"/>
    </xf>
    <xf numFmtId="2" fontId="15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2" fontId="15" fillId="0" borderId="33" xfId="0" applyNumberFormat="1" applyFont="1" applyBorder="1" applyAlignment="1">
      <alignment horizontal="left"/>
    </xf>
    <xf numFmtId="10" fontId="15" fillId="0" borderId="12" xfId="0" applyNumberFormat="1" applyFont="1" applyBorder="1" applyAlignment="1">
      <alignment horizontal="left"/>
    </xf>
    <xf numFmtId="2" fontId="15" fillId="0" borderId="24" xfId="0" applyNumberFormat="1" applyFont="1" applyBorder="1" applyAlignment="1">
      <alignment horizontal="left"/>
    </xf>
    <xf numFmtId="0" fontId="20" fillId="0" borderId="0" xfId="0" applyFont="1"/>
    <xf numFmtId="0" fontId="15" fillId="0" borderId="22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0" fillId="0" borderId="0" xfId="0" applyFont="1" applyAlignment="1"/>
    <xf numFmtId="2" fontId="0" fillId="0" borderId="51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2" fontId="0" fillId="0" borderId="17" xfId="0" applyNumberFormat="1" applyBorder="1" applyAlignment="1">
      <alignment horizontal="left"/>
    </xf>
    <xf numFmtId="2" fontId="0" fillId="0" borderId="12" xfId="0" applyNumberFormat="1" applyBorder="1" applyAlignment="1">
      <alignment horizontal="left"/>
    </xf>
    <xf numFmtId="2" fontId="0" fillId="0" borderId="16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 wrapText="1"/>
    </xf>
    <xf numFmtId="2" fontId="0" fillId="0" borderId="13" xfId="0" applyNumberFormat="1" applyBorder="1" applyAlignment="1">
      <alignment horizontal="right"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2" fontId="0" fillId="0" borderId="19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 applyBorder="1" applyAlignment="1">
      <alignment horizontal="center"/>
    </xf>
    <xf numFmtId="164" fontId="0" fillId="0" borderId="8" xfId="0" applyNumberFormat="1" applyBorder="1"/>
    <xf numFmtId="2" fontId="0" fillId="0" borderId="4" xfId="0" applyNumberFormat="1" applyBorder="1"/>
    <xf numFmtId="2" fontId="0" fillId="0" borderId="4" xfId="0" applyNumberFormat="1" applyBorder="1" applyAlignment="1">
      <alignment horizontal="right"/>
    </xf>
    <xf numFmtId="2" fontId="21" fillId="0" borderId="1" xfId="0" applyNumberFormat="1" applyFont="1" applyBorder="1"/>
    <xf numFmtId="2" fontId="9" fillId="0" borderId="10" xfId="0" applyNumberFormat="1" applyFont="1" applyBorder="1" applyAlignment="1">
      <alignment horizontal="right"/>
    </xf>
    <xf numFmtId="2" fontId="2" fillId="0" borderId="35" xfId="0" applyNumberFormat="1" applyFont="1" applyBorder="1" applyAlignment="1">
      <alignment horizontal="right" wrapText="1"/>
    </xf>
    <xf numFmtId="2" fontId="0" fillId="0" borderId="20" xfId="0" applyNumberFormat="1" applyBorder="1" applyAlignment="1">
      <alignment horizontal="left" wrapText="1"/>
    </xf>
    <xf numFmtId="2" fontId="2" fillId="0" borderId="20" xfId="0" applyNumberFormat="1" applyFont="1" applyBorder="1" applyAlignment="1">
      <alignment horizontal="right" wrapText="1"/>
    </xf>
    <xf numFmtId="2" fontId="0" fillId="0" borderId="0" xfId="0" applyNumberFormat="1" applyBorder="1" applyAlignment="1">
      <alignment horizontal="left"/>
    </xf>
    <xf numFmtId="2" fontId="0" fillId="0" borderId="6" xfId="0" applyNumberFormat="1" applyBorder="1" applyAlignment="1">
      <alignment horizontal="center"/>
    </xf>
    <xf numFmtId="2" fontId="0" fillId="0" borderId="19" xfId="0" applyNumberFormat="1" applyBorder="1" applyAlignment="1">
      <alignment horizontal="center" wrapText="1"/>
    </xf>
    <xf numFmtId="164" fontId="0" fillId="0" borderId="45" xfId="0" applyNumberFormat="1" applyBorder="1" applyAlignment="1">
      <alignment horizontal="center"/>
    </xf>
    <xf numFmtId="0" fontId="15" fillId="0" borderId="0" xfId="0" applyFont="1" applyAlignment="1"/>
    <xf numFmtId="1" fontId="15" fillId="0" borderId="0" xfId="0" applyNumberFormat="1" applyFont="1" applyAlignment="1">
      <alignment horizontal="right"/>
    </xf>
    <xf numFmtId="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2" fontId="2" fillId="0" borderId="1" xfId="0" applyNumberFormat="1" applyFont="1" applyBorder="1" applyAlignment="1">
      <alignment wrapText="1"/>
    </xf>
    <xf numFmtId="2" fontId="2" fillId="0" borderId="1" xfId="0" applyNumberFormat="1" applyFont="1" applyBorder="1"/>
    <xf numFmtId="2" fontId="0" fillId="0" borderId="17" xfId="0" applyNumberFormat="1" applyBorder="1" applyAlignment="1">
      <alignment horizontal="left"/>
    </xf>
    <xf numFmtId="2" fontId="0" fillId="0" borderId="12" xfId="0" applyNumberFormat="1" applyBorder="1" applyAlignment="1">
      <alignment horizontal="left"/>
    </xf>
    <xf numFmtId="2" fontId="0" fillId="0" borderId="16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2" fontId="0" fillId="0" borderId="13" xfId="0" applyNumberFormat="1" applyBorder="1" applyAlignment="1">
      <alignment horizontal="right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2" fontId="1" fillId="0" borderId="24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0" fillId="0" borderId="19" xfId="0" applyNumberFormat="1" applyBorder="1" applyAlignment="1">
      <alignment horizontal="center" wrapText="1"/>
    </xf>
    <xf numFmtId="2" fontId="0" fillId="0" borderId="22" xfId="0" applyNumberFormat="1" applyBorder="1" applyAlignment="1">
      <alignment horizontal="center" wrapText="1"/>
    </xf>
    <xf numFmtId="2" fontId="0" fillId="0" borderId="21" xfId="0" applyNumberFormat="1" applyBorder="1" applyAlignment="1">
      <alignment horizontal="center" wrapText="1"/>
    </xf>
    <xf numFmtId="2" fontId="0" fillId="0" borderId="20" xfId="0" applyNumberFormat="1" applyBorder="1" applyAlignment="1">
      <alignment horizontal="right" wrapText="1"/>
    </xf>
    <xf numFmtId="2" fontId="0" fillId="0" borderId="0" xfId="0" applyNumberFormat="1" applyBorder="1" applyAlignment="1">
      <alignment horizontal="center" wrapText="1"/>
    </xf>
    <xf numFmtId="0" fontId="15" fillId="0" borderId="12" xfId="0" applyFont="1" applyBorder="1" applyAlignment="1">
      <alignment horizontal="left"/>
    </xf>
    <xf numFmtId="2" fontId="0" fillId="0" borderId="17" xfId="0" applyNumberFormat="1" applyBorder="1" applyAlignment="1">
      <alignment horizontal="left" wrapText="1"/>
    </xf>
    <xf numFmtId="2" fontId="0" fillId="0" borderId="12" xfId="0" applyNumberFormat="1" applyBorder="1" applyAlignment="1">
      <alignment horizontal="left" wrapText="1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/>
    <xf numFmtId="2" fontId="1" fillId="0" borderId="34" xfId="0" applyNumberFormat="1" applyFont="1" applyBorder="1" applyAlignment="1">
      <alignment horizontal="center" wrapText="1"/>
    </xf>
    <xf numFmtId="2" fontId="0" fillId="0" borderId="30" xfId="0" applyNumberFormat="1" applyBorder="1" applyAlignment="1">
      <alignment horizontal="right" wrapText="1"/>
    </xf>
    <xf numFmtId="0" fontId="0" fillId="0" borderId="51" xfId="0" applyBorder="1"/>
    <xf numFmtId="0" fontId="0" fillId="0" borderId="30" xfId="0" applyBorder="1"/>
    <xf numFmtId="2" fontId="2" fillId="0" borderId="1" xfId="0" applyNumberFormat="1" applyFont="1" applyBorder="1" applyAlignment="1">
      <alignment horizontal="right" wrapText="1"/>
    </xf>
    <xf numFmtId="2" fontId="0" fillId="0" borderId="16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2" fontId="0" fillId="0" borderId="13" xfId="0" applyNumberFormat="1" applyBorder="1" applyAlignment="1">
      <alignment horizontal="right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2" fontId="6" fillId="0" borderId="9" xfId="0" applyNumberFormat="1" applyFont="1" applyBorder="1" applyAlignment="1">
      <alignment horizontal="left" wrapText="1"/>
    </xf>
    <xf numFmtId="2" fontId="6" fillId="0" borderId="32" xfId="0" applyNumberFormat="1" applyFont="1" applyBorder="1" applyAlignment="1">
      <alignment horizontal="left" wrapText="1"/>
    </xf>
    <xf numFmtId="2" fontId="6" fillId="0" borderId="13" xfId="0" applyNumberFormat="1" applyFont="1" applyBorder="1" applyAlignment="1">
      <alignment horizontal="left" wrapText="1"/>
    </xf>
    <xf numFmtId="164" fontId="6" fillId="0" borderId="18" xfId="0" applyNumberFormat="1" applyFont="1" applyBorder="1" applyAlignment="1">
      <alignment wrapText="1"/>
    </xf>
    <xf numFmtId="2" fontId="22" fillId="0" borderId="6" xfId="0" applyNumberFormat="1" applyFont="1" applyBorder="1" applyAlignment="1">
      <alignment horizontal="left" wrapText="1"/>
    </xf>
    <xf numFmtId="2" fontId="22" fillId="0" borderId="7" xfId="0" applyNumberFormat="1" applyFont="1" applyBorder="1" applyAlignment="1">
      <alignment horizontal="left" wrapText="1"/>
    </xf>
    <xf numFmtId="164" fontId="22" fillId="0" borderId="4" xfId="0" applyNumberFormat="1" applyFont="1" applyBorder="1" applyAlignment="1">
      <alignment horizontal="left" wrapText="1"/>
    </xf>
    <xf numFmtId="10" fontId="22" fillId="0" borderId="12" xfId="0" applyNumberFormat="1" applyFont="1" applyBorder="1" applyAlignment="1">
      <alignment horizontal="left" wrapText="1"/>
    </xf>
    <xf numFmtId="2" fontId="22" fillId="0" borderId="12" xfId="0" applyNumberFormat="1" applyFont="1" applyBorder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2" fillId="0" borderId="15" xfId="0" applyNumberFormat="1" applyFont="1" applyBorder="1"/>
    <xf numFmtId="2" fontId="2" fillId="0" borderId="30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14" fillId="0" borderId="0" xfId="0" applyFont="1" applyAlignment="1"/>
    <xf numFmtId="0" fontId="0" fillId="0" borderId="0" xfId="0" applyAlignment="1">
      <alignment horizontal="left"/>
    </xf>
    <xf numFmtId="10" fontId="14" fillId="0" borderId="0" xfId="0" applyNumberFormat="1" applyFont="1" applyAlignment="1">
      <alignment horizontal="center"/>
    </xf>
    <xf numFmtId="10" fontId="0" fillId="0" borderId="0" xfId="0" applyNumberFormat="1"/>
    <xf numFmtId="10" fontId="14" fillId="0" borderId="0" xfId="0" applyNumberFormat="1" applyFont="1" applyBorder="1" applyAlignment="1">
      <alignment horizontal="center"/>
    </xf>
    <xf numFmtId="10" fontId="0" fillId="0" borderId="0" xfId="0" applyNumberFormat="1" applyBorder="1"/>
    <xf numFmtId="10" fontId="0" fillId="0" borderId="1" xfId="0" applyNumberFormat="1" applyBorder="1"/>
    <xf numFmtId="164" fontId="14" fillId="0" borderId="0" xfId="0" applyNumberFormat="1" applyFont="1" applyAlignment="1"/>
    <xf numFmtId="164" fontId="0" fillId="0" borderId="2" xfId="0" applyNumberFormat="1" applyBorder="1"/>
    <xf numFmtId="164" fontId="0" fillId="0" borderId="5" xfId="0" applyNumberFormat="1" applyBorder="1"/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12" xfId="0" applyFont="1" applyBorder="1" applyAlignment="1">
      <alignment horizontal="center"/>
    </xf>
    <xf numFmtId="164" fontId="16" fillId="0" borderId="12" xfId="0" applyNumberFormat="1" applyFont="1" applyBorder="1" applyAlignment="1">
      <alignment horizontal="center" wrapText="1"/>
    </xf>
    <xf numFmtId="10" fontId="16" fillId="0" borderId="12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49" fontId="0" fillId="0" borderId="0" xfId="0" applyNumberFormat="1"/>
    <xf numFmtId="2" fontId="12" fillId="0" borderId="17" xfId="0" applyNumberFormat="1" applyFont="1" applyBorder="1" applyAlignment="1">
      <alignment horizontal="left" wrapText="1"/>
    </xf>
    <xf numFmtId="2" fontId="7" fillId="0" borderId="52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20" xfId="0" applyFont="1" applyBorder="1"/>
    <xf numFmtId="0" fontId="2" fillId="0" borderId="1" xfId="0" applyFont="1" applyBorder="1"/>
    <xf numFmtId="0" fontId="2" fillId="0" borderId="14" xfId="0" applyFont="1" applyBorder="1"/>
    <xf numFmtId="2" fontId="2" fillId="0" borderId="1" xfId="0" applyNumberFormat="1" applyFont="1" applyBorder="1" applyAlignment="1">
      <alignment horizontal="right"/>
    </xf>
    <xf numFmtId="2" fontId="26" fillId="0" borderId="14" xfId="0" applyNumberFormat="1" applyFont="1" applyBorder="1" applyAlignment="1">
      <alignment horizontal="right" wrapText="1"/>
    </xf>
    <xf numFmtId="164" fontId="2" fillId="0" borderId="0" xfId="0" applyNumberFormat="1" applyFont="1"/>
    <xf numFmtId="2" fontId="12" fillId="0" borderId="32" xfId="0" applyNumberFormat="1" applyFont="1" applyBorder="1" applyAlignment="1">
      <alignment wrapText="1"/>
    </xf>
    <xf numFmtId="2" fontId="24" fillId="0" borderId="17" xfId="0" applyNumberFormat="1" applyFont="1" applyBorder="1" applyAlignment="1">
      <alignment horizontal="left" wrapText="1"/>
    </xf>
    <xf numFmtId="2" fontId="24" fillId="0" borderId="9" xfId="0" applyNumberFormat="1" applyFont="1" applyBorder="1" applyAlignment="1">
      <alignment horizontal="left" wrapText="1"/>
    </xf>
    <xf numFmtId="2" fontId="24" fillId="0" borderId="17" xfId="0" applyNumberFormat="1" applyFont="1" applyBorder="1" applyAlignment="1">
      <alignment wrapText="1"/>
    </xf>
    <xf numFmtId="2" fontId="0" fillId="0" borderId="16" xfId="0" applyNumberFormat="1" applyBorder="1" applyAlignment="1">
      <alignment horizontal="right" wrapText="1"/>
    </xf>
    <xf numFmtId="2" fontId="0" fillId="0" borderId="13" xfId="0" applyNumberFormat="1" applyBorder="1" applyAlignment="1">
      <alignment horizontal="right" wrapText="1"/>
    </xf>
    <xf numFmtId="2" fontId="0" fillId="0" borderId="0" xfId="0" applyNumberFormat="1" applyBorder="1" applyAlignment="1">
      <alignment horizontal="center"/>
    </xf>
    <xf numFmtId="2" fontId="0" fillId="0" borderId="20" xfId="0" applyNumberFormat="1" applyBorder="1" applyAlignment="1">
      <alignment horizontal="right" wrapText="1"/>
    </xf>
    <xf numFmtId="2" fontId="24" fillId="0" borderId="8" xfId="0" applyNumberFormat="1" applyFont="1" applyBorder="1" applyAlignment="1">
      <alignment horizontal="left" wrapText="1"/>
    </xf>
    <xf numFmtId="2" fontId="24" fillId="0" borderId="32" xfId="0" applyNumberFormat="1" applyFont="1" applyBorder="1" applyAlignment="1">
      <alignment wrapText="1"/>
    </xf>
    <xf numFmtId="2" fontId="24" fillId="0" borderId="32" xfId="0" applyNumberFormat="1" applyFont="1" applyBorder="1" applyAlignment="1">
      <alignment horizontal="left" wrapText="1"/>
    </xf>
    <xf numFmtId="2" fontId="0" fillId="0" borderId="0" xfId="0" applyNumberFormat="1" applyBorder="1" applyAlignment="1">
      <alignment horizontal="center"/>
    </xf>
    <xf numFmtId="2" fontId="0" fillId="0" borderId="20" xfId="0" applyNumberFormat="1" applyBorder="1" applyAlignment="1">
      <alignment horizontal="right" wrapText="1"/>
    </xf>
    <xf numFmtId="2" fontId="24" fillId="0" borderId="19" xfId="0" applyNumberFormat="1" applyFont="1" applyBorder="1" applyAlignment="1">
      <alignment horizontal="left" wrapText="1"/>
    </xf>
    <xf numFmtId="2" fontId="0" fillId="0" borderId="36" xfId="0" applyNumberFormat="1" applyBorder="1" applyAlignment="1">
      <alignment horizontal="right"/>
    </xf>
    <xf numFmtId="0" fontId="24" fillId="0" borderId="32" xfId="0" applyFont="1" applyBorder="1" applyAlignment="1">
      <alignment horizontal="left" wrapText="1"/>
    </xf>
    <xf numFmtId="2" fontId="0" fillId="0" borderId="16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2" fontId="0" fillId="0" borderId="13" xfId="0" applyNumberFormat="1" applyBorder="1" applyAlignment="1">
      <alignment horizontal="right" wrapText="1"/>
    </xf>
    <xf numFmtId="2" fontId="0" fillId="0" borderId="0" xfId="0" applyNumberFormat="1" applyBorder="1" applyAlignment="1">
      <alignment horizontal="center"/>
    </xf>
    <xf numFmtId="2" fontId="24" fillId="0" borderId="17" xfId="0" applyNumberFormat="1" applyFont="1" applyBorder="1" applyAlignment="1">
      <alignment horizontal="left"/>
    </xf>
    <xf numFmtId="0" fontId="0" fillId="0" borderId="22" xfId="0" applyBorder="1"/>
    <xf numFmtId="1" fontId="0" fillId="0" borderId="0" xfId="0" applyNumberFormat="1" applyAlignment="1">
      <alignment horizontal="right"/>
    </xf>
    <xf numFmtId="164" fontId="0" fillId="0" borderId="53" xfId="0" applyNumberFormat="1" applyBorder="1"/>
    <xf numFmtId="2" fontId="0" fillId="0" borderId="0" xfId="0" applyNumberFormat="1" applyBorder="1" applyAlignment="1">
      <alignment horizontal="center"/>
    </xf>
    <xf numFmtId="2" fontId="0" fillId="0" borderId="16" xfId="0" applyNumberFormat="1" applyBorder="1" applyAlignment="1">
      <alignment horizontal="right" wrapText="1"/>
    </xf>
    <xf numFmtId="2" fontId="0" fillId="0" borderId="13" xfId="0" applyNumberFormat="1" applyBorder="1" applyAlignment="1">
      <alignment horizontal="right" wrapText="1"/>
    </xf>
    <xf numFmtId="0" fontId="0" fillId="0" borderId="55" xfId="0" applyBorder="1"/>
    <xf numFmtId="164" fontId="0" fillId="0" borderId="55" xfId="0" applyNumberFormat="1" applyBorder="1"/>
    <xf numFmtId="0" fontId="0" fillId="0" borderId="56" xfId="0" applyBorder="1"/>
    <xf numFmtId="2" fontId="0" fillId="0" borderId="16" xfId="0" applyNumberFormat="1" applyBorder="1" applyAlignment="1">
      <alignment horizontal="right" wrapText="1"/>
    </xf>
    <xf numFmtId="2" fontId="0" fillId="0" borderId="13" xfId="0" applyNumberFormat="1" applyBorder="1" applyAlignment="1">
      <alignment horizontal="right"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2" fontId="0" fillId="0" borderId="16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2" fontId="0" fillId="0" borderId="13" xfId="0" applyNumberFormat="1" applyBorder="1" applyAlignment="1">
      <alignment horizontal="right"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/>
    <xf numFmtId="2" fontId="0" fillId="0" borderId="16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2" fontId="0" fillId="0" borderId="13" xfId="0" applyNumberFormat="1" applyBorder="1" applyAlignment="1">
      <alignment horizontal="right" wrapText="1"/>
    </xf>
    <xf numFmtId="2" fontId="0" fillId="0" borderId="0" xfId="0" applyNumberFormat="1" applyBorder="1" applyAlignment="1">
      <alignment horizontal="center"/>
    </xf>
    <xf numFmtId="2" fontId="0" fillId="0" borderId="20" xfId="0" applyNumberFormat="1" applyBorder="1" applyAlignment="1">
      <alignment horizontal="right" wrapText="1"/>
    </xf>
    <xf numFmtId="2" fontId="0" fillId="0" borderId="0" xfId="0" applyNumberFormat="1" applyBorder="1" applyAlignment="1">
      <alignment horizontal="center" wrapText="1"/>
    </xf>
    <xf numFmtId="2" fontId="2" fillId="0" borderId="14" xfId="0" applyNumberFormat="1" applyFont="1" applyBorder="1"/>
    <xf numFmtId="2" fontId="0" fillId="0" borderId="0" xfId="0" applyNumberFormat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2" fontId="0" fillId="0" borderId="17" xfId="0" applyNumberFormat="1" applyBorder="1" applyAlignment="1">
      <alignment horizontal="left"/>
    </xf>
    <xf numFmtId="2" fontId="0" fillId="0" borderId="12" xfId="0" applyNumberFormat="1" applyBorder="1" applyAlignment="1">
      <alignment horizontal="left"/>
    </xf>
    <xf numFmtId="2" fontId="0" fillId="0" borderId="16" xfId="0" applyNumberFormat="1" applyBorder="1" applyAlignment="1">
      <alignment horizontal="right" wrapText="1"/>
    </xf>
    <xf numFmtId="2" fontId="0" fillId="0" borderId="13" xfId="0" applyNumberFormat="1" applyBorder="1" applyAlignment="1">
      <alignment horizontal="right" wrapText="1"/>
    </xf>
    <xf numFmtId="2" fontId="0" fillId="0" borderId="0" xfId="0" applyNumberFormat="1" applyBorder="1" applyAlignment="1">
      <alignment horizontal="center"/>
    </xf>
    <xf numFmtId="2" fontId="0" fillId="0" borderId="20" xfId="0" applyNumberFormat="1" applyBorder="1" applyAlignment="1">
      <alignment horizontal="right" wrapText="1"/>
    </xf>
    <xf numFmtId="2" fontId="0" fillId="0" borderId="0" xfId="0" applyNumberFormat="1" applyBorder="1" applyAlignment="1">
      <alignment horizontal="center" wrapText="1"/>
    </xf>
    <xf numFmtId="2" fontId="0" fillId="0" borderId="14" xfId="0" applyNumberFormat="1" applyBorder="1"/>
    <xf numFmtId="2" fontId="0" fillId="0" borderId="9" xfId="0" applyNumberFormat="1" applyBorder="1" applyAlignment="1">
      <alignment horizontal="center" wrapText="1"/>
    </xf>
    <xf numFmtId="2" fontId="0" fillId="0" borderId="7" xfId="0" applyNumberFormat="1" applyBorder="1" applyAlignment="1">
      <alignment horizontal="center" wrapText="1"/>
    </xf>
    <xf numFmtId="164" fontId="27" fillId="0" borderId="45" xfId="0" applyNumberFormat="1" applyFont="1" applyBorder="1" applyAlignment="1">
      <alignment horizontal="left"/>
    </xf>
    <xf numFmtId="2" fontId="2" fillId="0" borderId="13" xfId="0" applyNumberFormat="1" applyFont="1" applyBorder="1" applyAlignment="1">
      <alignment wrapText="1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12" xfId="0" applyBorder="1" applyProtection="1">
      <protection locked="0"/>
    </xf>
    <xf numFmtId="164" fontId="0" fillId="0" borderId="12" xfId="0" applyNumberFormat="1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10" fontId="0" fillId="0" borderId="12" xfId="0" applyNumberFormat="1" applyBorder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Protection="1">
      <protection locked="0"/>
    </xf>
    <xf numFmtId="0" fontId="0" fillId="0" borderId="18" xfId="0" applyBorder="1" applyProtection="1">
      <protection locked="0"/>
    </xf>
    <xf numFmtId="0" fontId="15" fillId="0" borderId="13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22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2" xfId="0" applyFont="1" applyBorder="1" applyAlignment="1">
      <alignment horizontal="left"/>
    </xf>
    <xf numFmtId="0" fontId="15" fillId="0" borderId="45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2" fontId="0" fillId="0" borderId="22" xfId="0" applyNumberFormat="1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2" fillId="0" borderId="54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57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left"/>
      <protection locked="0"/>
    </xf>
    <xf numFmtId="0" fontId="16" fillId="0" borderId="1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left" wrapText="1"/>
    </xf>
    <xf numFmtId="2" fontId="0" fillId="0" borderId="12" xfId="0" applyNumberFormat="1" applyBorder="1" applyAlignment="1">
      <alignment horizontal="left" wrapText="1"/>
    </xf>
    <xf numFmtId="164" fontId="1" fillId="0" borderId="17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2" fontId="0" fillId="0" borderId="17" xfId="0" applyNumberFormat="1" applyBorder="1" applyAlignment="1">
      <alignment horizontal="left"/>
    </xf>
    <xf numFmtId="2" fontId="0" fillId="0" borderId="12" xfId="0" applyNumberFormat="1" applyBorder="1" applyAlignment="1">
      <alignment horizontal="left"/>
    </xf>
    <xf numFmtId="2" fontId="8" fillId="0" borderId="17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wrapText="1"/>
    </xf>
    <xf numFmtId="2" fontId="0" fillId="0" borderId="6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0" fillId="0" borderId="16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2" fontId="0" fillId="0" borderId="6" xfId="0" applyNumberForma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1" fillId="0" borderId="19" xfId="0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64" fontId="1" fillId="0" borderId="23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center" wrapText="1"/>
    </xf>
    <xf numFmtId="164" fontId="22" fillId="0" borderId="13" xfId="0" applyNumberFormat="1" applyFont="1" applyBorder="1" applyAlignment="1">
      <alignment horizontal="left" wrapText="1"/>
    </xf>
    <xf numFmtId="164" fontId="22" fillId="0" borderId="33" xfId="0" applyNumberFormat="1" applyFont="1" applyBorder="1" applyAlignment="1">
      <alignment horizontal="left" wrapText="1"/>
    </xf>
    <xf numFmtId="164" fontId="22" fillId="0" borderId="18" xfId="0" applyNumberFormat="1" applyFont="1" applyBorder="1" applyAlignment="1">
      <alignment horizontal="left" wrapText="1"/>
    </xf>
    <xf numFmtId="2" fontId="0" fillId="0" borderId="32" xfId="0" applyNumberFormat="1" applyBorder="1" applyAlignment="1">
      <alignment horizontal="left" wrapText="1"/>
    </xf>
    <xf numFmtId="2" fontId="0" fillId="0" borderId="33" xfId="0" applyNumberFormat="1" applyBorder="1" applyAlignment="1">
      <alignment horizontal="left" wrapText="1"/>
    </xf>
    <xf numFmtId="2" fontId="0" fillId="0" borderId="18" xfId="0" applyNumberFormat="1" applyBorder="1" applyAlignment="1">
      <alignment horizontal="left" wrapText="1"/>
    </xf>
    <xf numFmtId="2" fontId="0" fillId="0" borderId="13" xfId="0" applyNumberFormat="1" applyBorder="1" applyAlignment="1">
      <alignment horizontal="center" wrapText="1"/>
    </xf>
    <xf numFmtId="2" fontId="0" fillId="0" borderId="18" xfId="0" applyNumberFormat="1" applyBorder="1" applyAlignment="1">
      <alignment horizontal="center" wrapText="1"/>
    </xf>
    <xf numFmtId="2" fontId="24" fillId="0" borderId="13" xfId="0" applyNumberFormat="1" applyFont="1" applyBorder="1" applyAlignment="1">
      <alignment horizontal="left" wrapText="1"/>
    </xf>
    <xf numFmtId="2" fontId="24" fillId="0" borderId="33" xfId="0" applyNumberFormat="1" applyFont="1" applyBorder="1" applyAlignment="1">
      <alignment horizontal="left" wrapText="1"/>
    </xf>
    <xf numFmtId="2" fontId="24" fillId="0" borderId="18" xfId="0" applyNumberFormat="1" applyFont="1" applyBorder="1" applyAlignment="1">
      <alignment horizontal="left" wrapText="1"/>
    </xf>
    <xf numFmtId="2" fontId="0" fillId="0" borderId="13" xfId="0" applyNumberFormat="1" applyBorder="1" applyAlignment="1">
      <alignment horizontal="right" wrapText="1"/>
    </xf>
    <xf numFmtId="2" fontId="0" fillId="0" borderId="19" xfId="0" applyNumberFormat="1" applyBorder="1" applyAlignment="1">
      <alignment horizontal="left" wrapText="1"/>
    </xf>
    <xf numFmtId="2" fontId="0" fillId="0" borderId="22" xfId="0" applyNumberFormat="1" applyBorder="1" applyAlignment="1">
      <alignment horizontal="left" wrapText="1"/>
    </xf>
    <xf numFmtId="2" fontId="0" fillId="0" borderId="21" xfId="0" applyNumberFormat="1" applyBorder="1" applyAlignment="1">
      <alignment horizontal="left" wrapText="1"/>
    </xf>
    <xf numFmtId="2" fontId="0" fillId="0" borderId="8" xfId="0" applyNumberFormat="1" applyBorder="1" applyAlignment="1">
      <alignment horizontal="left" wrapText="1"/>
    </xf>
    <xf numFmtId="2" fontId="0" fillId="0" borderId="0" xfId="0" applyNumberFormat="1" applyBorder="1" applyAlignment="1">
      <alignment horizontal="left" wrapText="1"/>
    </xf>
    <xf numFmtId="2" fontId="0" fillId="0" borderId="3" xfId="0" applyNumberFormat="1" applyBorder="1" applyAlignment="1">
      <alignment horizontal="left" wrapText="1"/>
    </xf>
    <xf numFmtId="2" fontId="0" fillId="0" borderId="9" xfId="0" applyNumberFormat="1" applyBorder="1" applyAlignment="1">
      <alignment horizontal="left" wrapText="1"/>
    </xf>
    <xf numFmtId="2" fontId="0" fillId="0" borderId="6" xfId="0" applyNumberFormat="1" applyBorder="1" applyAlignment="1">
      <alignment horizontal="left" wrapText="1"/>
    </xf>
    <xf numFmtId="2" fontId="0" fillId="0" borderId="7" xfId="0" applyNumberFormat="1" applyBorder="1" applyAlignment="1">
      <alignment horizontal="left" wrapText="1"/>
    </xf>
    <xf numFmtId="2" fontId="0" fillId="0" borderId="4" xfId="0" applyNumberFormat="1" applyBorder="1" applyAlignment="1">
      <alignment horizontal="right" wrapText="1"/>
    </xf>
    <xf numFmtId="2" fontId="25" fillId="0" borderId="13" xfId="0" applyNumberFormat="1" applyFont="1" applyBorder="1" applyAlignment="1">
      <alignment horizontal="left" wrapText="1"/>
    </xf>
    <xf numFmtId="2" fontId="25" fillId="0" borderId="33" xfId="0" applyNumberFormat="1" applyFont="1" applyBorder="1" applyAlignment="1">
      <alignment horizontal="left" wrapText="1"/>
    </xf>
    <xf numFmtId="2" fontId="25" fillId="0" borderId="18" xfId="0" applyNumberFormat="1" applyFont="1" applyBorder="1" applyAlignment="1">
      <alignment horizontal="left" wrapText="1"/>
    </xf>
    <xf numFmtId="2" fontId="1" fillId="0" borderId="7" xfId="0" applyNumberFormat="1" applyFont="1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32" xfId="0" applyNumberFormat="1" applyBorder="1" applyAlignment="1">
      <alignment horizontal="left"/>
    </xf>
    <xf numFmtId="2" fontId="0" fillId="0" borderId="33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2" fontId="0" fillId="0" borderId="58" xfId="0" applyNumberFormat="1" applyBorder="1" applyAlignment="1">
      <alignment horizontal="right" wrapText="1"/>
    </xf>
    <xf numFmtId="2" fontId="1" fillId="0" borderId="24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33" xfId="0" applyFont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0" fontId="1" fillId="0" borderId="2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2" fontId="0" fillId="0" borderId="34" xfId="0" applyNumberFormat="1" applyBorder="1" applyAlignment="1">
      <alignment horizontal="right" wrapText="1"/>
    </xf>
    <xf numFmtId="2" fontId="0" fillId="0" borderId="20" xfId="0" applyNumberFormat="1" applyBorder="1" applyAlignment="1">
      <alignment horizontal="right" wrapText="1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8" xfId="0" applyBorder="1" applyAlignment="1">
      <alignment horizontal="left"/>
    </xf>
    <xf numFmtId="2" fontId="0" fillId="0" borderId="35" xfId="0" applyNumberFormat="1" applyBorder="1" applyAlignment="1">
      <alignment horizontal="right" wrapText="1"/>
    </xf>
    <xf numFmtId="2" fontId="24" fillId="0" borderId="13" xfId="0" applyNumberFormat="1" applyFont="1" applyBorder="1" applyAlignment="1">
      <alignment horizontal="left"/>
    </xf>
    <xf numFmtId="2" fontId="24" fillId="0" borderId="33" xfId="0" applyNumberFormat="1" applyFont="1" applyBorder="1" applyAlignment="1">
      <alignment horizontal="left"/>
    </xf>
    <xf numFmtId="2" fontId="24" fillId="0" borderId="18" xfId="0" applyNumberFormat="1" applyFont="1" applyBorder="1" applyAlignment="1">
      <alignment horizontal="left"/>
    </xf>
    <xf numFmtId="2" fontId="24" fillId="0" borderId="4" xfId="0" applyNumberFormat="1" applyFont="1" applyBorder="1" applyAlignment="1">
      <alignment horizontal="left" wrapText="1"/>
    </xf>
    <xf numFmtId="2" fontId="24" fillId="0" borderId="6" xfId="0" applyNumberFormat="1" applyFont="1" applyBorder="1" applyAlignment="1">
      <alignment horizontal="left" wrapText="1"/>
    </xf>
    <xf numFmtId="2" fontId="24" fillId="0" borderId="7" xfId="0" applyNumberFormat="1" applyFont="1" applyBorder="1" applyAlignment="1">
      <alignment horizontal="left" wrapText="1"/>
    </xf>
    <xf numFmtId="2" fontId="2" fillId="0" borderId="38" xfId="0" applyNumberFormat="1" applyFont="1" applyBorder="1" applyAlignment="1">
      <alignment horizontal="right"/>
    </xf>
    <xf numFmtId="2" fontId="2" fillId="0" borderId="39" xfId="0" applyNumberFormat="1" applyFont="1" applyBorder="1" applyAlignment="1">
      <alignment horizontal="right"/>
    </xf>
    <xf numFmtId="2" fontId="2" fillId="0" borderId="3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 wrapText="1"/>
    </xf>
    <xf numFmtId="2" fontId="0" fillId="0" borderId="34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0" borderId="30" xfId="0" applyNumberFormat="1" applyFont="1" applyBorder="1" applyAlignment="1">
      <alignment horizontal="right"/>
    </xf>
    <xf numFmtId="164" fontId="24" fillId="0" borderId="13" xfId="0" applyNumberFormat="1" applyFont="1" applyBorder="1" applyAlignment="1">
      <alignment horizontal="left" wrapText="1"/>
    </xf>
    <xf numFmtId="164" fontId="24" fillId="0" borderId="33" xfId="0" applyNumberFormat="1" applyFont="1" applyBorder="1" applyAlignment="1">
      <alignment horizontal="left" wrapText="1"/>
    </xf>
    <xf numFmtId="164" fontId="24" fillId="0" borderId="18" xfId="0" applyNumberFormat="1" applyFont="1" applyBorder="1" applyAlignment="1">
      <alignment horizontal="left" wrapText="1"/>
    </xf>
    <xf numFmtId="2" fontId="0" fillId="0" borderId="1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31" xfId="0" applyBorder="1"/>
    <xf numFmtId="2" fontId="12" fillId="0" borderId="13" xfId="0" applyNumberFormat="1" applyFont="1" applyBorder="1" applyAlignment="1">
      <alignment horizontal="center" wrapText="1"/>
    </xf>
    <xf numFmtId="0" fontId="0" fillId="0" borderId="46" xfId="0" applyBorder="1"/>
    <xf numFmtId="2" fontId="14" fillId="0" borderId="6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0" fillId="0" borderId="27" xfId="0" applyBorder="1"/>
    <xf numFmtId="2" fontId="0" fillId="0" borderId="16" xfId="0" applyNumberFormat="1" applyBorder="1" applyAlignment="1">
      <alignment horizontal="center" wrapText="1"/>
    </xf>
    <xf numFmtId="0" fontId="0" fillId="0" borderId="41" xfId="0" applyBorder="1"/>
    <xf numFmtId="2" fontId="0" fillId="0" borderId="49" xfId="0" applyNumberFormat="1" applyBorder="1" applyAlignment="1">
      <alignment horizontal="center" wrapText="1"/>
    </xf>
    <xf numFmtId="0" fontId="0" fillId="0" borderId="50" xfId="0" applyBorder="1"/>
    <xf numFmtId="2" fontId="0" fillId="0" borderId="47" xfId="0" applyNumberFormat="1" applyBorder="1" applyAlignment="1">
      <alignment horizontal="center" wrapText="1"/>
    </xf>
    <xf numFmtId="0" fontId="0" fillId="0" borderId="48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23</xdr:row>
      <xdr:rowOff>95250</xdr:rowOff>
    </xdr:from>
    <xdr:to>
      <xdr:col>3</xdr:col>
      <xdr:colOff>552450</xdr:colOff>
      <xdr:row>23</xdr:row>
      <xdr:rowOff>95250</xdr:rowOff>
    </xdr:to>
    <xdr:cxnSp macro="">
      <xdr:nvCxnSpPr>
        <xdr:cNvPr id="2" name="Straight Arrow Connector 1"/>
        <xdr:cNvCxnSpPr/>
      </xdr:nvCxnSpPr>
      <xdr:spPr>
        <a:xfrm>
          <a:off x="1914525" y="901065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33</xdr:row>
      <xdr:rowOff>95250</xdr:rowOff>
    </xdr:from>
    <xdr:to>
      <xdr:col>3</xdr:col>
      <xdr:colOff>552450</xdr:colOff>
      <xdr:row>33</xdr:row>
      <xdr:rowOff>95250</xdr:rowOff>
    </xdr:to>
    <xdr:cxnSp macro="">
      <xdr:nvCxnSpPr>
        <xdr:cNvPr id="3" name="Straight Arrow Connector 2"/>
        <xdr:cNvCxnSpPr/>
      </xdr:nvCxnSpPr>
      <xdr:spPr>
        <a:xfrm>
          <a:off x="1914525" y="459105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39</xdr:row>
      <xdr:rowOff>95250</xdr:rowOff>
    </xdr:from>
    <xdr:to>
      <xdr:col>3</xdr:col>
      <xdr:colOff>552450</xdr:colOff>
      <xdr:row>39</xdr:row>
      <xdr:rowOff>95250</xdr:rowOff>
    </xdr:to>
    <xdr:cxnSp macro="">
      <xdr:nvCxnSpPr>
        <xdr:cNvPr id="4" name="Straight Arrow Connector 3"/>
        <xdr:cNvCxnSpPr/>
      </xdr:nvCxnSpPr>
      <xdr:spPr>
        <a:xfrm>
          <a:off x="1914525" y="6524625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46</xdr:row>
      <xdr:rowOff>95250</xdr:rowOff>
    </xdr:from>
    <xdr:to>
      <xdr:col>3</xdr:col>
      <xdr:colOff>552450</xdr:colOff>
      <xdr:row>46</xdr:row>
      <xdr:rowOff>95250</xdr:rowOff>
    </xdr:to>
    <xdr:cxnSp macro="">
      <xdr:nvCxnSpPr>
        <xdr:cNvPr id="5" name="Straight Arrow Connector 4"/>
        <xdr:cNvCxnSpPr/>
      </xdr:nvCxnSpPr>
      <xdr:spPr>
        <a:xfrm>
          <a:off x="1914525" y="6905625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533400</xdr:colOff>
      <xdr:row>18</xdr:row>
      <xdr:rowOff>66675</xdr:rowOff>
    </xdr:from>
    <xdr:to>
      <xdr:col>3</xdr:col>
      <xdr:colOff>152400</xdr:colOff>
      <xdr:row>19</xdr:row>
      <xdr:rowOff>142875</xdr:rowOff>
    </xdr:to>
    <xdr:cxnSp macro="">
      <xdr:nvCxnSpPr>
        <xdr:cNvPr id="12" name="Straight Connector 11"/>
        <xdr:cNvCxnSpPr/>
      </xdr:nvCxnSpPr>
      <xdr:spPr>
        <a:xfrm flipV="1">
          <a:off x="2038350" y="2838450"/>
          <a:ext cx="37147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523875</xdr:colOff>
      <xdr:row>2</xdr:row>
      <xdr:rowOff>76200</xdr:rowOff>
    </xdr:from>
    <xdr:to>
      <xdr:col>3</xdr:col>
      <xdr:colOff>142875</xdr:colOff>
      <xdr:row>3</xdr:row>
      <xdr:rowOff>152400</xdr:rowOff>
    </xdr:to>
    <xdr:cxnSp macro="">
      <xdr:nvCxnSpPr>
        <xdr:cNvPr id="15" name="Straight Connector 14"/>
        <xdr:cNvCxnSpPr/>
      </xdr:nvCxnSpPr>
      <xdr:spPr>
        <a:xfrm flipV="1">
          <a:off x="2028825" y="457200"/>
          <a:ext cx="37147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48</xdr:row>
      <xdr:rowOff>57150</xdr:rowOff>
    </xdr:from>
    <xdr:to>
      <xdr:col>3</xdr:col>
      <xdr:colOff>180975</xdr:colOff>
      <xdr:row>49</xdr:row>
      <xdr:rowOff>133350</xdr:rowOff>
    </xdr:to>
    <xdr:cxnSp macro="">
      <xdr:nvCxnSpPr>
        <xdr:cNvPr id="16" name="Straight Connector 15"/>
        <xdr:cNvCxnSpPr/>
      </xdr:nvCxnSpPr>
      <xdr:spPr>
        <a:xfrm flipV="1">
          <a:off x="2066925" y="8677275"/>
          <a:ext cx="37147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10</xdr:row>
      <xdr:rowOff>95250</xdr:rowOff>
    </xdr:from>
    <xdr:to>
      <xdr:col>3</xdr:col>
      <xdr:colOff>552450</xdr:colOff>
      <xdr:row>10</xdr:row>
      <xdr:rowOff>95250</xdr:rowOff>
    </xdr:to>
    <xdr:cxnSp macro="">
      <xdr:nvCxnSpPr>
        <xdr:cNvPr id="17" name="Straight Arrow Connector 16"/>
        <xdr:cNvCxnSpPr/>
      </xdr:nvCxnSpPr>
      <xdr:spPr>
        <a:xfrm>
          <a:off x="2295525" y="773430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16</xdr:row>
      <xdr:rowOff>95250</xdr:rowOff>
    </xdr:from>
    <xdr:to>
      <xdr:col>3</xdr:col>
      <xdr:colOff>552450</xdr:colOff>
      <xdr:row>16</xdr:row>
      <xdr:rowOff>95250</xdr:rowOff>
    </xdr:to>
    <xdr:cxnSp macro="">
      <xdr:nvCxnSpPr>
        <xdr:cNvPr id="18" name="Straight Arrow Connector 17"/>
        <xdr:cNvCxnSpPr/>
      </xdr:nvCxnSpPr>
      <xdr:spPr>
        <a:xfrm>
          <a:off x="2295525" y="773430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53</xdr:row>
      <xdr:rowOff>95250</xdr:rowOff>
    </xdr:from>
    <xdr:to>
      <xdr:col>3</xdr:col>
      <xdr:colOff>552450</xdr:colOff>
      <xdr:row>53</xdr:row>
      <xdr:rowOff>95250</xdr:rowOff>
    </xdr:to>
    <xdr:cxnSp macro="">
      <xdr:nvCxnSpPr>
        <xdr:cNvPr id="11" name="Straight Arrow Connector 10"/>
        <xdr:cNvCxnSpPr/>
      </xdr:nvCxnSpPr>
      <xdr:spPr>
        <a:xfrm>
          <a:off x="2295525" y="459105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63</xdr:row>
      <xdr:rowOff>95250</xdr:rowOff>
    </xdr:from>
    <xdr:to>
      <xdr:col>3</xdr:col>
      <xdr:colOff>552450</xdr:colOff>
      <xdr:row>63</xdr:row>
      <xdr:rowOff>95250</xdr:rowOff>
    </xdr:to>
    <xdr:cxnSp macro="">
      <xdr:nvCxnSpPr>
        <xdr:cNvPr id="13" name="Straight Arrow Connector 12"/>
        <xdr:cNvCxnSpPr/>
      </xdr:nvCxnSpPr>
      <xdr:spPr>
        <a:xfrm>
          <a:off x="2295525" y="6562725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69</xdr:row>
      <xdr:rowOff>95250</xdr:rowOff>
    </xdr:from>
    <xdr:to>
      <xdr:col>3</xdr:col>
      <xdr:colOff>552450</xdr:colOff>
      <xdr:row>69</xdr:row>
      <xdr:rowOff>95250</xdr:rowOff>
    </xdr:to>
    <xdr:cxnSp macro="">
      <xdr:nvCxnSpPr>
        <xdr:cNvPr id="14" name="Straight Arrow Connector 13"/>
        <xdr:cNvCxnSpPr/>
      </xdr:nvCxnSpPr>
      <xdr:spPr>
        <a:xfrm>
          <a:off x="2295525" y="773430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76</xdr:row>
      <xdr:rowOff>95250</xdr:rowOff>
    </xdr:from>
    <xdr:to>
      <xdr:col>3</xdr:col>
      <xdr:colOff>552450</xdr:colOff>
      <xdr:row>76</xdr:row>
      <xdr:rowOff>95250</xdr:rowOff>
    </xdr:to>
    <xdr:cxnSp macro="">
      <xdr:nvCxnSpPr>
        <xdr:cNvPr id="19" name="Straight Arrow Connector 18"/>
        <xdr:cNvCxnSpPr/>
      </xdr:nvCxnSpPr>
      <xdr:spPr>
        <a:xfrm>
          <a:off x="2295525" y="9096375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78</xdr:row>
      <xdr:rowOff>57150</xdr:rowOff>
    </xdr:from>
    <xdr:to>
      <xdr:col>3</xdr:col>
      <xdr:colOff>180975</xdr:colOff>
      <xdr:row>79</xdr:row>
      <xdr:rowOff>133350</xdr:rowOff>
    </xdr:to>
    <xdr:cxnSp macro="">
      <xdr:nvCxnSpPr>
        <xdr:cNvPr id="20" name="Straight Connector 19"/>
        <xdr:cNvCxnSpPr/>
      </xdr:nvCxnSpPr>
      <xdr:spPr>
        <a:xfrm flipV="1">
          <a:off x="2066925" y="9439275"/>
          <a:ext cx="37147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2</xdr:row>
      <xdr:rowOff>85725</xdr:rowOff>
    </xdr:from>
    <xdr:to>
      <xdr:col>3</xdr:col>
      <xdr:colOff>142875</xdr:colOff>
      <xdr:row>3</xdr:row>
      <xdr:rowOff>152400</xdr:rowOff>
    </xdr:to>
    <xdr:cxnSp macro="">
      <xdr:nvCxnSpPr>
        <xdr:cNvPr id="2" name="Straight Connector 1"/>
        <xdr:cNvCxnSpPr/>
      </xdr:nvCxnSpPr>
      <xdr:spPr>
        <a:xfrm flipV="1">
          <a:off x="2047875" y="466725"/>
          <a:ext cx="352425" cy="257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523875</xdr:colOff>
      <xdr:row>18</xdr:row>
      <xdr:rowOff>76200</xdr:rowOff>
    </xdr:from>
    <xdr:to>
      <xdr:col>3</xdr:col>
      <xdr:colOff>142875</xdr:colOff>
      <xdr:row>19</xdr:row>
      <xdr:rowOff>152400</xdr:rowOff>
    </xdr:to>
    <xdr:cxnSp macro="">
      <xdr:nvCxnSpPr>
        <xdr:cNvPr id="3" name="Straight Connector 2"/>
        <xdr:cNvCxnSpPr/>
      </xdr:nvCxnSpPr>
      <xdr:spPr>
        <a:xfrm flipV="1">
          <a:off x="2028825" y="2771775"/>
          <a:ext cx="37147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18</xdr:row>
      <xdr:rowOff>76200</xdr:rowOff>
    </xdr:from>
    <xdr:to>
      <xdr:col>3</xdr:col>
      <xdr:colOff>142875</xdr:colOff>
      <xdr:row>19</xdr:row>
      <xdr:rowOff>152400</xdr:rowOff>
    </xdr:to>
    <xdr:cxnSp macro="">
      <xdr:nvCxnSpPr>
        <xdr:cNvPr id="2" name="Straight Connector 1"/>
        <xdr:cNvCxnSpPr/>
      </xdr:nvCxnSpPr>
      <xdr:spPr>
        <a:xfrm flipV="1">
          <a:off x="2028825" y="2781300"/>
          <a:ext cx="37147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571500</xdr:colOff>
      <xdr:row>2</xdr:row>
      <xdr:rowOff>76200</xdr:rowOff>
    </xdr:from>
    <xdr:to>
      <xdr:col>3</xdr:col>
      <xdr:colOff>190500</xdr:colOff>
      <xdr:row>3</xdr:row>
      <xdr:rowOff>152400</xdr:rowOff>
    </xdr:to>
    <xdr:cxnSp macro="">
      <xdr:nvCxnSpPr>
        <xdr:cNvPr id="3" name="Straight Connector 2"/>
        <xdr:cNvCxnSpPr/>
      </xdr:nvCxnSpPr>
      <xdr:spPr>
        <a:xfrm flipV="1">
          <a:off x="2076450" y="457200"/>
          <a:ext cx="37147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6</xdr:row>
      <xdr:rowOff>95250</xdr:rowOff>
    </xdr:from>
    <xdr:to>
      <xdr:col>3</xdr:col>
      <xdr:colOff>552450</xdr:colOff>
      <xdr:row>6</xdr:row>
      <xdr:rowOff>95250</xdr:rowOff>
    </xdr:to>
    <xdr:cxnSp macro="">
      <xdr:nvCxnSpPr>
        <xdr:cNvPr id="8" name="Straight Arrow Connector 7"/>
        <xdr:cNvCxnSpPr/>
      </xdr:nvCxnSpPr>
      <xdr:spPr>
        <a:xfrm>
          <a:off x="2295525" y="20240625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571500</xdr:colOff>
      <xdr:row>27</xdr:row>
      <xdr:rowOff>66675</xdr:rowOff>
    </xdr:from>
    <xdr:to>
      <xdr:col>3</xdr:col>
      <xdr:colOff>171450</xdr:colOff>
      <xdr:row>28</xdr:row>
      <xdr:rowOff>133350</xdr:rowOff>
    </xdr:to>
    <xdr:cxnSp macro="">
      <xdr:nvCxnSpPr>
        <xdr:cNvPr id="9" name="Straight Connector 8"/>
        <xdr:cNvCxnSpPr/>
      </xdr:nvCxnSpPr>
      <xdr:spPr>
        <a:xfrm flipV="1">
          <a:off x="2076450" y="22583775"/>
          <a:ext cx="352425" cy="257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37</xdr:row>
      <xdr:rowOff>95250</xdr:rowOff>
    </xdr:from>
    <xdr:to>
      <xdr:col>3</xdr:col>
      <xdr:colOff>552450</xdr:colOff>
      <xdr:row>37</xdr:row>
      <xdr:rowOff>95250</xdr:rowOff>
    </xdr:to>
    <xdr:cxnSp macro="">
      <xdr:nvCxnSpPr>
        <xdr:cNvPr id="10" name="Straight Arrow Connector 9"/>
        <xdr:cNvCxnSpPr/>
      </xdr:nvCxnSpPr>
      <xdr:spPr>
        <a:xfrm>
          <a:off x="2295525" y="25517475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552450</xdr:colOff>
      <xdr:row>2</xdr:row>
      <xdr:rowOff>66675</xdr:rowOff>
    </xdr:from>
    <xdr:to>
      <xdr:col>3</xdr:col>
      <xdr:colOff>152400</xdr:colOff>
      <xdr:row>3</xdr:row>
      <xdr:rowOff>142875</xdr:rowOff>
    </xdr:to>
    <xdr:cxnSp macro="">
      <xdr:nvCxnSpPr>
        <xdr:cNvPr id="6" name="Straight Connector 5"/>
        <xdr:cNvCxnSpPr/>
      </xdr:nvCxnSpPr>
      <xdr:spPr>
        <a:xfrm flipV="1">
          <a:off x="2057400" y="447675"/>
          <a:ext cx="35242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19</xdr:row>
      <xdr:rowOff>95250</xdr:rowOff>
    </xdr:from>
    <xdr:to>
      <xdr:col>3</xdr:col>
      <xdr:colOff>552450</xdr:colOff>
      <xdr:row>19</xdr:row>
      <xdr:rowOff>95250</xdr:rowOff>
    </xdr:to>
    <xdr:cxnSp macro="">
      <xdr:nvCxnSpPr>
        <xdr:cNvPr id="7" name="Straight Arrow Connector 6"/>
        <xdr:cNvCxnSpPr/>
      </xdr:nvCxnSpPr>
      <xdr:spPr>
        <a:xfrm>
          <a:off x="2295525" y="398145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25</xdr:row>
      <xdr:rowOff>95250</xdr:rowOff>
    </xdr:from>
    <xdr:to>
      <xdr:col>3</xdr:col>
      <xdr:colOff>552450</xdr:colOff>
      <xdr:row>25</xdr:row>
      <xdr:rowOff>95250</xdr:rowOff>
    </xdr:to>
    <xdr:cxnSp macro="">
      <xdr:nvCxnSpPr>
        <xdr:cNvPr id="12" name="Straight Arrow Connector 11"/>
        <xdr:cNvCxnSpPr/>
      </xdr:nvCxnSpPr>
      <xdr:spPr>
        <a:xfrm>
          <a:off x="2295525" y="2828925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12</xdr:row>
      <xdr:rowOff>95250</xdr:rowOff>
    </xdr:from>
    <xdr:to>
      <xdr:col>3</xdr:col>
      <xdr:colOff>552450</xdr:colOff>
      <xdr:row>12</xdr:row>
      <xdr:rowOff>95250</xdr:rowOff>
    </xdr:to>
    <xdr:cxnSp macro="">
      <xdr:nvCxnSpPr>
        <xdr:cNvPr id="14" name="Straight Arrow Connector 13"/>
        <xdr:cNvCxnSpPr/>
      </xdr:nvCxnSpPr>
      <xdr:spPr>
        <a:xfrm>
          <a:off x="2295525" y="1247775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6</xdr:row>
      <xdr:rowOff>95250</xdr:rowOff>
    </xdr:from>
    <xdr:to>
      <xdr:col>3</xdr:col>
      <xdr:colOff>552450</xdr:colOff>
      <xdr:row>6</xdr:row>
      <xdr:rowOff>95250</xdr:rowOff>
    </xdr:to>
    <xdr:cxnSp macro="">
      <xdr:nvCxnSpPr>
        <xdr:cNvPr id="6" name="Straight Arrow Connector 5"/>
        <xdr:cNvCxnSpPr/>
      </xdr:nvCxnSpPr>
      <xdr:spPr>
        <a:xfrm>
          <a:off x="2295525" y="3371850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27</xdr:row>
      <xdr:rowOff>85725</xdr:rowOff>
    </xdr:from>
    <xdr:to>
      <xdr:col>3</xdr:col>
      <xdr:colOff>161925</xdr:colOff>
      <xdr:row>28</xdr:row>
      <xdr:rowOff>152400</xdr:rowOff>
    </xdr:to>
    <xdr:cxnSp macro="">
      <xdr:nvCxnSpPr>
        <xdr:cNvPr id="7" name="Straight Connector 6"/>
        <xdr:cNvCxnSpPr/>
      </xdr:nvCxnSpPr>
      <xdr:spPr>
        <a:xfrm flipV="1">
          <a:off x="2066925" y="36023550"/>
          <a:ext cx="352425" cy="257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2</xdr:row>
      <xdr:rowOff>57150</xdr:rowOff>
    </xdr:from>
    <xdr:to>
      <xdr:col>3</xdr:col>
      <xdr:colOff>161925</xdr:colOff>
      <xdr:row>3</xdr:row>
      <xdr:rowOff>133350</xdr:rowOff>
    </xdr:to>
    <xdr:cxnSp macro="">
      <xdr:nvCxnSpPr>
        <xdr:cNvPr id="4" name="Straight Connector 3"/>
        <xdr:cNvCxnSpPr/>
      </xdr:nvCxnSpPr>
      <xdr:spPr>
        <a:xfrm flipV="1">
          <a:off x="2066925" y="438150"/>
          <a:ext cx="35242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19</xdr:row>
      <xdr:rowOff>95250</xdr:rowOff>
    </xdr:from>
    <xdr:to>
      <xdr:col>3</xdr:col>
      <xdr:colOff>552450</xdr:colOff>
      <xdr:row>19</xdr:row>
      <xdr:rowOff>95250</xdr:rowOff>
    </xdr:to>
    <xdr:cxnSp macro="">
      <xdr:nvCxnSpPr>
        <xdr:cNvPr id="8" name="Straight Arrow Connector 7"/>
        <xdr:cNvCxnSpPr/>
      </xdr:nvCxnSpPr>
      <xdr:spPr>
        <a:xfrm>
          <a:off x="2295525" y="842010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25</xdr:row>
      <xdr:rowOff>95250</xdr:rowOff>
    </xdr:from>
    <xdr:to>
      <xdr:col>3</xdr:col>
      <xdr:colOff>552450</xdr:colOff>
      <xdr:row>25</xdr:row>
      <xdr:rowOff>95250</xdr:rowOff>
    </xdr:to>
    <xdr:cxnSp macro="">
      <xdr:nvCxnSpPr>
        <xdr:cNvPr id="9" name="Straight Arrow Connector 8"/>
        <xdr:cNvCxnSpPr/>
      </xdr:nvCxnSpPr>
      <xdr:spPr>
        <a:xfrm>
          <a:off x="2295525" y="2828925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12</xdr:row>
      <xdr:rowOff>95250</xdr:rowOff>
    </xdr:from>
    <xdr:to>
      <xdr:col>3</xdr:col>
      <xdr:colOff>552450</xdr:colOff>
      <xdr:row>12</xdr:row>
      <xdr:rowOff>95250</xdr:rowOff>
    </xdr:to>
    <xdr:cxnSp macro="">
      <xdr:nvCxnSpPr>
        <xdr:cNvPr id="10" name="Straight Arrow Connector 9"/>
        <xdr:cNvCxnSpPr/>
      </xdr:nvCxnSpPr>
      <xdr:spPr>
        <a:xfrm>
          <a:off x="2295525" y="241935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6</xdr:row>
      <xdr:rowOff>95250</xdr:rowOff>
    </xdr:from>
    <xdr:to>
      <xdr:col>3</xdr:col>
      <xdr:colOff>552450</xdr:colOff>
      <xdr:row>6</xdr:row>
      <xdr:rowOff>95250</xdr:rowOff>
    </xdr:to>
    <xdr:cxnSp macro="">
      <xdr:nvCxnSpPr>
        <xdr:cNvPr id="4" name="Straight Arrow Connector 3"/>
        <xdr:cNvCxnSpPr/>
      </xdr:nvCxnSpPr>
      <xdr:spPr>
        <a:xfrm>
          <a:off x="2295525" y="41271825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21</xdr:row>
      <xdr:rowOff>85725</xdr:rowOff>
    </xdr:from>
    <xdr:to>
      <xdr:col>3</xdr:col>
      <xdr:colOff>161925</xdr:colOff>
      <xdr:row>22</xdr:row>
      <xdr:rowOff>152400</xdr:rowOff>
    </xdr:to>
    <xdr:cxnSp macro="">
      <xdr:nvCxnSpPr>
        <xdr:cNvPr id="5" name="Straight Connector 4"/>
        <xdr:cNvCxnSpPr/>
      </xdr:nvCxnSpPr>
      <xdr:spPr>
        <a:xfrm flipV="1">
          <a:off x="2066925" y="43576875"/>
          <a:ext cx="352425" cy="257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2</xdr:row>
      <xdr:rowOff>57150</xdr:rowOff>
    </xdr:from>
    <xdr:to>
      <xdr:col>3</xdr:col>
      <xdr:colOff>161925</xdr:colOff>
      <xdr:row>3</xdr:row>
      <xdr:rowOff>133350</xdr:rowOff>
    </xdr:to>
    <xdr:cxnSp macro="">
      <xdr:nvCxnSpPr>
        <xdr:cNvPr id="6" name="Straight Connector 5"/>
        <xdr:cNvCxnSpPr/>
      </xdr:nvCxnSpPr>
      <xdr:spPr>
        <a:xfrm flipV="1">
          <a:off x="2066925" y="438150"/>
          <a:ext cx="35242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19</xdr:row>
      <xdr:rowOff>95250</xdr:rowOff>
    </xdr:from>
    <xdr:to>
      <xdr:col>3</xdr:col>
      <xdr:colOff>552450</xdr:colOff>
      <xdr:row>19</xdr:row>
      <xdr:rowOff>95250</xdr:rowOff>
    </xdr:to>
    <xdr:cxnSp macro="">
      <xdr:nvCxnSpPr>
        <xdr:cNvPr id="7" name="Straight Arrow Connector 6"/>
        <xdr:cNvCxnSpPr/>
      </xdr:nvCxnSpPr>
      <xdr:spPr>
        <a:xfrm>
          <a:off x="2295525" y="398145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12</xdr:row>
      <xdr:rowOff>95250</xdr:rowOff>
    </xdr:from>
    <xdr:to>
      <xdr:col>3</xdr:col>
      <xdr:colOff>552450</xdr:colOff>
      <xdr:row>12</xdr:row>
      <xdr:rowOff>95250</xdr:rowOff>
    </xdr:to>
    <xdr:cxnSp macro="">
      <xdr:nvCxnSpPr>
        <xdr:cNvPr id="10" name="Straight Arrow Connector 9"/>
        <xdr:cNvCxnSpPr/>
      </xdr:nvCxnSpPr>
      <xdr:spPr>
        <a:xfrm>
          <a:off x="2295525" y="241935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2</xdr:row>
      <xdr:rowOff>85725</xdr:rowOff>
    </xdr:from>
    <xdr:to>
      <xdr:col>3</xdr:col>
      <xdr:colOff>142875</xdr:colOff>
      <xdr:row>3</xdr:row>
      <xdr:rowOff>161925</xdr:rowOff>
    </xdr:to>
    <xdr:cxnSp macro="">
      <xdr:nvCxnSpPr>
        <xdr:cNvPr id="2" name="Straight Connector 1"/>
        <xdr:cNvCxnSpPr/>
      </xdr:nvCxnSpPr>
      <xdr:spPr>
        <a:xfrm flipV="1">
          <a:off x="2028825" y="466725"/>
          <a:ext cx="37147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533400</xdr:colOff>
      <xdr:row>33</xdr:row>
      <xdr:rowOff>66675</xdr:rowOff>
    </xdr:from>
    <xdr:to>
      <xdr:col>3</xdr:col>
      <xdr:colOff>152400</xdr:colOff>
      <xdr:row>34</xdr:row>
      <xdr:rowOff>142875</xdr:rowOff>
    </xdr:to>
    <xdr:cxnSp macro="">
      <xdr:nvCxnSpPr>
        <xdr:cNvPr id="3" name="Straight Connector 2"/>
        <xdr:cNvCxnSpPr/>
      </xdr:nvCxnSpPr>
      <xdr:spPr>
        <a:xfrm flipV="1">
          <a:off x="1943100" y="4962525"/>
          <a:ext cx="323850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533400</xdr:colOff>
      <xdr:row>65</xdr:row>
      <xdr:rowOff>66675</xdr:rowOff>
    </xdr:from>
    <xdr:to>
      <xdr:col>3</xdr:col>
      <xdr:colOff>152400</xdr:colOff>
      <xdr:row>66</xdr:row>
      <xdr:rowOff>142875</xdr:rowOff>
    </xdr:to>
    <xdr:cxnSp macro="">
      <xdr:nvCxnSpPr>
        <xdr:cNvPr id="11" name="Straight Connector 10"/>
        <xdr:cNvCxnSpPr/>
      </xdr:nvCxnSpPr>
      <xdr:spPr>
        <a:xfrm flipV="1">
          <a:off x="2038350" y="4962525"/>
          <a:ext cx="37147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7</xdr:row>
      <xdr:rowOff>95250</xdr:rowOff>
    </xdr:from>
    <xdr:to>
      <xdr:col>3</xdr:col>
      <xdr:colOff>552450</xdr:colOff>
      <xdr:row>7</xdr:row>
      <xdr:rowOff>95250</xdr:rowOff>
    </xdr:to>
    <xdr:cxnSp macro="">
      <xdr:nvCxnSpPr>
        <xdr:cNvPr id="12" name="Straight Arrow Connector 11"/>
        <xdr:cNvCxnSpPr/>
      </xdr:nvCxnSpPr>
      <xdr:spPr>
        <a:xfrm>
          <a:off x="2295525" y="2047875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13</xdr:row>
      <xdr:rowOff>95250</xdr:rowOff>
    </xdr:from>
    <xdr:to>
      <xdr:col>3</xdr:col>
      <xdr:colOff>552450</xdr:colOff>
      <xdr:row>13</xdr:row>
      <xdr:rowOff>95250</xdr:rowOff>
    </xdr:to>
    <xdr:cxnSp macro="">
      <xdr:nvCxnSpPr>
        <xdr:cNvPr id="13" name="Straight Arrow Connector 12"/>
        <xdr:cNvCxnSpPr/>
      </xdr:nvCxnSpPr>
      <xdr:spPr>
        <a:xfrm>
          <a:off x="2295525" y="2047875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38</xdr:row>
      <xdr:rowOff>95250</xdr:rowOff>
    </xdr:from>
    <xdr:to>
      <xdr:col>3</xdr:col>
      <xdr:colOff>552450</xdr:colOff>
      <xdr:row>38</xdr:row>
      <xdr:rowOff>95250</xdr:rowOff>
    </xdr:to>
    <xdr:cxnSp macro="">
      <xdr:nvCxnSpPr>
        <xdr:cNvPr id="14" name="Straight Arrow Connector 13"/>
        <xdr:cNvCxnSpPr/>
      </xdr:nvCxnSpPr>
      <xdr:spPr>
        <a:xfrm>
          <a:off x="2295525" y="142875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44</xdr:row>
      <xdr:rowOff>95250</xdr:rowOff>
    </xdr:from>
    <xdr:to>
      <xdr:col>3</xdr:col>
      <xdr:colOff>552450</xdr:colOff>
      <xdr:row>44</xdr:row>
      <xdr:rowOff>95250</xdr:rowOff>
    </xdr:to>
    <xdr:cxnSp macro="">
      <xdr:nvCxnSpPr>
        <xdr:cNvPr id="15" name="Straight Arrow Connector 14"/>
        <xdr:cNvCxnSpPr/>
      </xdr:nvCxnSpPr>
      <xdr:spPr>
        <a:xfrm>
          <a:off x="2295525" y="2619375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20</xdr:row>
      <xdr:rowOff>95250</xdr:rowOff>
    </xdr:from>
    <xdr:to>
      <xdr:col>3</xdr:col>
      <xdr:colOff>552450</xdr:colOff>
      <xdr:row>20</xdr:row>
      <xdr:rowOff>95250</xdr:rowOff>
    </xdr:to>
    <xdr:cxnSp macro="">
      <xdr:nvCxnSpPr>
        <xdr:cNvPr id="16" name="Straight Arrow Connector 15"/>
        <xdr:cNvCxnSpPr/>
      </xdr:nvCxnSpPr>
      <xdr:spPr>
        <a:xfrm>
          <a:off x="2295525" y="634365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51</xdr:row>
      <xdr:rowOff>95250</xdr:rowOff>
    </xdr:from>
    <xdr:to>
      <xdr:col>3</xdr:col>
      <xdr:colOff>552450</xdr:colOff>
      <xdr:row>51</xdr:row>
      <xdr:rowOff>95250</xdr:rowOff>
    </xdr:to>
    <xdr:cxnSp macro="">
      <xdr:nvCxnSpPr>
        <xdr:cNvPr id="17" name="Straight Arrow Connector 16"/>
        <xdr:cNvCxnSpPr/>
      </xdr:nvCxnSpPr>
      <xdr:spPr>
        <a:xfrm>
          <a:off x="2295525" y="398145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26</xdr:row>
      <xdr:rowOff>95250</xdr:rowOff>
    </xdr:from>
    <xdr:to>
      <xdr:col>3</xdr:col>
      <xdr:colOff>552450</xdr:colOff>
      <xdr:row>26</xdr:row>
      <xdr:rowOff>95250</xdr:rowOff>
    </xdr:to>
    <xdr:cxnSp macro="">
      <xdr:nvCxnSpPr>
        <xdr:cNvPr id="18" name="Straight Arrow Connector 17"/>
        <xdr:cNvCxnSpPr/>
      </xdr:nvCxnSpPr>
      <xdr:spPr>
        <a:xfrm>
          <a:off x="2295525" y="398145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57</xdr:row>
      <xdr:rowOff>95250</xdr:rowOff>
    </xdr:from>
    <xdr:to>
      <xdr:col>3</xdr:col>
      <xdr:colOff>552450</xdr:colOff>
      <xdr:row>57</xdr:row>
      <xdr:rowOff>95250</xdr:rowOff>
    </xdr:to>
    <xdr:cxnSp macro="">
      <xdr:nvCxnSpPr>
        <xdr:cNvPr id="19" name="Straight Arrow Connector 18"/>
        <xdr:cNvCxnSpPr/>
      </xdr:nvCxnSpPr>
      <xdr:spPr>
        <a:xfrm>
          <a:off x="2295525" y="1002030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63</xdr:row>
      <xdr:rowOff>95250</xdr:rowOff>
    </xdr:from>
    <xdr:to>
      <xdr:col>3</xdr:col>
      <xdr:colOff>552450</xdr:colOff>
      <xdr:row>63</xdr:row>
      <xdr:rowOff>95250</xdr:rowOff>
    </xdr:to>
    <xdr:cxnSp macro="">
      <xdr:nvCxnSpPr>
        <xdr:cNvPr id="20" name="Straight Arrow Connector 19"/>
        <xdr:cNvCxnSpPr/>
      </xdr:nvCxnSpPr>
      <xdr:spPr>
        <a:xfrm>
          <a:off x="2295525" y="1116330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9</xdr:row>
      <xdr:rowOff>66676</xdr:rowOff>
    </xdr:from>
    <xdr:to>
      <xdr:col>3</xdr:col>
      <xdr:colOff>152400</xdr:colOff>
      <xdr:row>10</xdr:row>
      <xdr:rowOff>133350</xdr:rowOff>
    </xdr:to>
    <xdr:cxnSp macro="">
      <xdr:nvCxnSpPr>
        <xdr:cNvPr id="4" name="Straight Connector 3"/>
        <xdr:cNvCxnSpPr/>
      </xdr:nvCxnSpPr>
      <xdr:spPr>
        <a:xfrm flipV="1">
          <a:off x="2047875" y="2581276"/>
          <a:ext cx="361950" cy="2571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552450</xdr:colOff>
      <xdr:row>2</xdr:row>
      <xdr:rowOff>76200</xdr:rowOff>
    </xdr:from>
    <xdr:to>
      <xdr:col>3</xdr:col>
      <xdr:colOff>161925</xdr:colOff>
      <xdr:row>3</xdr:row>
      <xdr:rowOff>142874</xdr:rowOff>
    </xdr:to>
    <xdr:cxnSp macro="">
      <xdr:nvCxnSpPr>
        <xdr:cNvPr id="6" name="Straight Connector 5"/>
        <xdr:cNvCxnSpPr/>
      </xdr:nvCxnSpPr>
      <xdr:spPr>
        <a:xfrm flipV="1">
          <a:off x="2057400" y="457200"/>
          <a:ext cx="361950" cy="2571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22</xdr:row>
      <xdr:rowOff>95250</xdr:rowOff>
    </xdr:from>
    <xdr:to>
      <xdr:col>3</xdr:col>
      <xdr:colOff>552450</xdr:colOff>
      <xdr:row>22</xdr:row>
      <xdr:rowOff>95250</xdr:rowOff>
    </xdr:to>
    <xdr:cxnSp macro="">
      <xdr:nvCxnSpPr>
        <xdr:cNvPr id="8" name="Straight Arrow Connector 7"/>
        <xdr:cNvCxnSpPr/>
      </xdr:nvCxnSpPr>
      <xdr:spPr>
        <a:xfrm>
          <a:off x="2295525" y="144780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581025</xdr:colOff>
      <xdr:row>43</xdr:row>
      <xdr:rowOff>47625</xdr:rowOff>
    </xdr:from>
    <xdr:to>
      <xdr:col>3</xdr:col>
      <xdr:colOff>180975</xdr:colOff>
      <xdr:row>44</xdr:row>
      <xdr:rowOff>142875</xdr:rowOff>
    </xdr:to>
    <xdr:cxnSp macro="">
      <xdr:nvCxnSpPr>
        <xdr:cNvPr id="9" name="Straight Connector 8"/>
        <xdr:cNvCxnSpPr/>
      </xdr:nvCxnSpPr>
      <xdr:spPr>
        <a:xfrm flipV="1">
          <a:off x="2085975" y="7210425"/>
          <a:ext cx="35242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35</xdr:row>
      <xdr:rowOff>95250</xdr:rowOff>
    </xdr:from>
    <xdr:to>
      <xdr:col>3</xdr:col>
      <xdr:colOff>552450</xdr:colOff>
      <xdr:row>35</xdr:row>
      <xdr:rowOff>95250</xdr:rowOff>
    </xdr:to>
    <xdr:cxnSp macro="">
      <xdr:nvCxnSpPr>
        <xdr:cNvPr id="10" name="Straight Arrow Connector 9"/>
        <xdr:cNvCxnSpPr/>
      </xdr:nvCxnSpPr>
      <xdr:spPr>
        <a:xfrm>
          <a:off x="2295525" y="2828925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552450</xdr:colOff>
      <xdr:row>41</xdr:row>
      <xdr:rowOff>95250</xdr:rowOff>
    </xdr:to>
    <xdr:cxnSp macro="">
      <xdr:nvCxnSpPr>
        <xdr:cNvPr id="11" name="Straight Arrow Connector 10"/>
        <xdr:cNvCxnSpPr/>
      </xdr:nvCxnSpPr>
      <xdr:spPr>
        <a:xfrm>
          <a:off x="2295525" y="3990975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571500</xdr:colOff>
      <xdr:row>17</xdr:row>
      <xdr:rowOff>47625</xdr:rowOff>
    </xdr:from>
    <xdr:to>
      <xdr:col>3</xdr:col>
      <xdr:colOff>171450</xdr:colOff>
      <xdr:row>18</xdr:row>
      <xdr:rowOff>142875</xdr:rowOff>
    </xdr:to>
    <xdr:cxnSp macro="">
      <xdr:nvCxnSpPr>
        <xdr:cNvPr id="12" name="Straight Connector 11"/>
        <xdr:cNvCxnSpPr/>
      </xdr:nvCxnSpPr>
      <xdr:spPr>
        <a:xfrm flipV="1">
          <a:off x="2076450" y="3333750"/>
          <a:ext cx="35242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28</xdr:row>
      <xdr:rowOff>95250</xdr:rowOff>
    </xdr:from>
    <xdr:to>
      <xdr:col>3</xdr:col>
      <xdr:colOff>552450</xdr:colOff>
      <xdr:row>28</xdr:row>
      <xdr:rowOff>95250</xdr:rowOff>
    </xdr:to>
    <xdr:cxnSp macro="">
      <xdr:nvCxnSpPr>
        <xdr:cNvPr id="14" name="Straight Arrow Connector 13"/>
        <xdr:cNvCxnSpPr/>
      </xdr:nvCxnSpPr>
      <xdr:spPr>
        <a:xfrm>
          <a:off x="2295525" y="241935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12</xdr:row>
      <xdr:rowOff>95250</xdr:rowOff>
    </xdr:from>
    <xdr:to>
      <xdr:col>3</xdr:col>
      <xdr:colOff>552450</xdr:colOff>
      <xdr:row>12</xdr:row>
      <xdr:rowOff>95250</xdr:rowOff>
    </xdr:to>
    <xdr:cxnSp macro="">
      <xdr:nvCxnSpPr>
        <xdr:cNvPr id="6" name="Straight Arrow Connector 5"/>
        <xdr:cNvCxnSpPr/>
      </xdr:nvCxnSpPr>
      <xdr:spPr>
        <a:xfrm>
          <a:off x="2295525" y="9858375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19</xdr:row>
      <xdr:rowOff>95250</xdr:rowOff>
    </xdr:from>
    <xdr:to>
      <xdr:col>3</xdr:col>
      <xdr:colOff>552450</xdr:colOff>
      <xdr:row>19</xdr:row>
      <xdr:rowOff>95250</xdr:rowOff>
    </xdr:to>
    <xdr:cxnSp macro="">
      <xdr:nvCxnSpPr>
        <xdr:cNvPr id="7" name="Straight Arrow Connector 6"/>
        <xdr:cNvCxnSpPr/>
      </xdr:nvCxnSpPr>
      <xdr:spPr>
        <a:xfrm>
          <a:off x="2295525" y="1122045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26</xdr:row>
      <xdr:rowOff>95250</xdr:rowOff>
    </xdr:from>
    <xdr:to>
      <xdr:col>3</xdr:col>
      <xdr:colOff>552450</xdr:colOff>
      <xdr:row>26</xdr:row>
      <xdr:rowOff>95250</xdr:rowOff>
    </xdr:to>
    <xdr:cxnSp macro="">
      <xdr:nvCxnSpPr>
        <xdr:cNvPr id="8" name="Straight Arrow Connector 7"/>
        <xdr:cNvCxnSpPr/>
      </xdr:nvCxnSpPr>
      <xdr:spPr>
        <a:xfrm>
          <a:off x="2295525" y="12582525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33</xdr:row>
      <xdr:rowOff>95250</xdr:rowOff>
    </xdr:from>
    <xdr:to>
      <xdr:col>3</xdr:col>
      <xdr:colOff>552450</xdr:colOff>
      <xdr:row>33</xdr:row>
      <xdr:rowOff>95250</xdr:rowOff>
    </xdr:to>
    <xdr:cxnSp macro="">
      <xdr:nvCxnSpPr>
        <xdr:cNvPr id="9" name="Straight Arrow Connector 8"/>
        <xdr:cNvCxnSpPr/>
      </xdr:nvCxnSpPr>
      <xdr:spPr>
        <a:xfrm>
          <a:off x="2295525" y="1394460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514350</xdr:colOff>
      <xdr:row>35</xdr:row>
      <xdr:rowOff>66675</xdr:rowOff>
    </xdr:from>
    <xdr:to>
      <xdr:col>3</xdr:col>
      <xdr:colOff>133350</xdr:colOff>
      <xdr:row>36</xdr:row>
      <xdr:rowOff>142875</xdr:rowOff>
    </xdr:to>
    <xdr:cxnSp macro="">
      <xdr:nvCxnSpPr>
        <xdr:cNvPr id="11" name="Straight Connector 10"/>
        <xdr:cNvCxnSpPr/>
      </xdr:nvCxnSpPr>
      <xdr:spPr>
        <a:xfrm flipV="1">
          <a:off x="2019300" y="14325600"/>
          <a:ext cx="37147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523875</xdr:colOff>
      <xdr:row>2</xdr:row>
      <xdr:rowOff>76200</xdr:rowOff>
    </xdr:from>
    <xdr:to>
      <xdr:col>3</xdr:col>
      <xdr:colOff>142875</xdr:colOff>
      <xdr:row>3</xdr:row>
      <xdr:rowOff>152400</xdr:rowOff>
    </xdr:to>
    <xdr:cxnSp macro="">
      <xdr:nvCxnSpPr>
        <xdr:cNvPr id="13" name="Straight Connector 12"/>
        <xdr:cNvCxnSpPr/>
      </xdr:nvCxnSpPr>
      <xdr:spPr>
        <a:xfrm flipV="1">
          <a:off x="2028825" y="457200"/>
          <a:ext cx="37147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45</xdr:row>
      <xdr:rowOff>95250</xdr:rowOff>
    </xdr:from>
    <xdr:to>
      <xdr:col>3</xdr:col>
      <xdr:colOff>552450</xdr:colOff>
      <xdr:row>45</xdr:row>
      <xdr:rowOff>95250</xdr:rowOff>
    </xdr:to>
    <xdr:cxnSp macro="">
      <xdr:nvCxnSpPr>
        <xdr:cNvPr id="10" name="Straight Arrow Connector 9"/>
        <xdr:cNvCxnSpPr/>
      </xdr:nvCxnSpPr>
      <xdr:spPr>
        <a:xfrm>
          <a:off x="2295525" y="240030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52</xdr:row>
      <xdr:rowOff>95250</xdr:rowOff>
    </xdr:from>
    <xdr:to>
      <xdr:col>3</xdr:col>
      <xdr:colOff>552450</xdr:colOff>
      <xdr:row>52</xdr:row>
      <xdr:rowOff>95250</xdr:rowOff>
    </xdr:to>
    <xdr:cxnSp macro="">
      <xdr:nvCxnSpPr>
        <xdr:cNvPr id="15" name="Straight Arrow Connector 14"/>
        <xdr:cNvCxnSpPr/>
      </xdr:nvCxnSpPr>
      <xdr:spPr>
        <a:xfrm>
          <a:off x="2295525" y="6429375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514350</xdr:colOff>
      <xdr:row>54</xdr:row>
      <xdr:rowOff>66675</xdr:rowOff>
    </xdr:from>
    <xdr:to>
      <xdr:col>3</xdr:col>
      <xdr:colOff>133350</xdr:colOff>
      <xdr:row>55</xdr:row>
      <xdr:rowOff>142875</xdr:rowOff>
    </xdr:to>
    <xdr:cxnSp macro="">
      <xdr:nvCxnSpPr>
        <xdr:cNvPr id="16" name="Straight Connector 15"/>
        <xdr:cNvCxnSpPr/>
      </xdr:nvCxnSpPr>
      <xdr:spPr>
        <a:xfrm flipV="1">
          <a:off x="2019300" y="6781800"/>
          <a:ext cx="37147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36</xdr:row>
      <xdr:rowOff>76202</xdr:rowOff>
    </xdr:from>
    <xdr:to>
      <xdr:col>3</xdr:col>
      <xdr:colOff>152400</xdr:colOff>
      <xdr:row>37</xdr:row>
      <xdr:rowOff>161925</xdr:rowOff>
    </xdr:to>
    <xdr:cxnSp macro="">
      <xdr:nvCxnSpPr>
        <xdr:cNvPr id="2" name="Straight Connector 1"/>
        <xdr:cNvCxnSpPr/>
      </xdr:nvCxnSpPr>
      <xdr:spPr>
        <a:xfrm flipV="1">
          <a:off x="2028825" y="6543677"/>
          <a:ext cx="381000" cy="2762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523875</xdr:colOff>
      <xdr:row>2</xdr:row>
      <xdr:rowOff>76200</xdr:rowOff>
    </xdr:from>
    <xdr:to>
      <xdr:col>3</xdr:col>
      <xdr:colOff>142875</xdr:colOff>
      <xdr:row>3</xdr:row>
      <xdr:rowOff>152400</xdr:rowOff>
    </xdr:to>
    <xdr:cxnSp macro="">
      <xdr:nvCxnSpPr>
        <xdr:cNvPr id="3" name="Straight Connector 2"/>
        <xdr:cNvCxnSpPr/>
      </xdr:nvCxnSpPr>
      <xdr:spPr>
        <a:xfrm flipV="1">
          <a:off x="2028825" y="457200"/>
          <a:ext cx="37147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40</xdr:row>
      <xdr:rowOff>95250</xdr:rowOff>
    </xdr:from>
    <xdr:to>
      <xdr:col>3</xdr:col>
      <xdr:colOff>552450</xdr:colOff>
      <xdr:row>40</xdr:row>
      <xdr:rowOff>95250</xdr:rowOff>
    </xdr:to>
    <xdr:cxnSp macro="">
      <xdr:nvCxnSpPr>
        <xdr:cNvPr id="4" name="Straight Arrow Connector 3"/>
        <xdr:cNvCxnSpPr/>
      </xdr:nvCxnSpPr>
      <xdr:spPr>
        <a:xfrm>
          <a:off x="2295525" y="842010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2</xdr:row>
      <xdr:rowOff>66675</xdr:rowOff>
    </xdr:from>
    <xdr:to>
      <xdr:col>3</xdr:col>
      <xdr:colOff>161925</xdr:colOff>
      <xdr:row>3</xdr:row>
      <xdr:rowOff>142875</xdr:rowOff>
    </xdr:to>
    <xdr:cxnSp macro="">
      <xdr:nvCxnSpPr>
        <xdr:cNvPr id="2" name="Straight Connector 1"/>
        <xdr:cNvCxnSpPr/>
      </xdr:nvCxnSpPr>
      <xdr:spPr>
        <a:xfrm flipV="1">
          <a:off x="2047875" y="447675"/>
          <a:ext cx="37147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37</xdr:row>
      <xdr:rowOff>57150</xdr:rowOff>
    </xdr:from>
    <xdr:to>
      <xdr:col>3</xdr:col>
      <xdr:colOff>152400</xdr:colOff>
      <xdr:row>38</xdr:row>
      <xdr:rowOff>142876</xdr:rowOff>
    </xdr:to>
    <xdr:cxnSp macro="">
      <xdr:nvCxnSpPr>
        <xdr:cNvPr id="3" name="Straight Connector 2"/>
        <xdr:cNvCxnSpPr/>
      </xdr:nvCxnSpPr>
      <xdr:spPr>
        <a:xfrm flipV="1">
          <a:off x="2066925" y="6838950"/>
          <a:ext cx="342900" cy="2762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48</xdr:row>
      <xdr:rowOff>66675</xdr:rowOff>
    </xdr:from>
    <xdr:to>
      <xdr:col>3</xdr:col>
      <xdr:colOff>180975</xdr:colOff>
      <xdr:row>49</xdr:row>
      <xdr:rowOff>142875</xdr:rowOff>
    </xdr:to>
    <xdr:cxnSp macro="">
      <xdr:nvCxnSpPr>
        <xdr:cNvPr id="4" name="Straight Connector 3"/>
        <xdr:cNvCxnSpPr/>
      </xdr:nvCxnSpPr>
      <xdr:spPr>
        <a:xfrm flipV="1">
          <a:off x="2066925" y="9344025"/>
          <a:ext cx="37147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542925</xdr:colOff>
      <xdr:row>36</xdr:row>
      <xdr:rowOff>57150</xdr:rowOff>
    </xdr:from>
    <xdr:to>
      <xdr:col>3</xdr:col>
      <xdr:colOff>190500</xdr:colOff>
      <xdr:row>37</xdr:row>
      <xdr:rowOff>152401</xdr:rowOff>
    </xdr:to>
    <xdr:cxnSp macro="">
      <xdr:nvCxnSpPr>
        <xdr:cNvPr id="6" name="Straight Connector 5"/>
        <xdr:cNvCxnSpPr/>
      </xdr:nvCxnSpPr>
      <xdr:spPr>
        <a:xfrm flipV="1">
          <a:off x="2047875" y="5867400"/>
          <a:ext cx="400050" cy="2857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9</xdr:row>
      <xdr:rowOff>76200</xdr:rowOff>
    </xdr:from>
    <xdr:to>
      <xdr:col>3</xdr:col>
      <xdr:colOff>142875</xdr:colOff>
      <xdr:row>10</xdr:row>
      <xdr:rowOff>152400</xdr:rowOff>
    </xdr:to>
    <xdr:cxnSp macro="">
      <xdr:nvCxnSpPr>
        <xdr:cNvPr id="2" name="Straight Connector 1"/>
        <xdr:cNvCxnSpPr/>
      </xdr:nvCxnSpPr>
      <xdr:spPr>
        <a:xfrm flipV="1">
          <a:off x="1933575" y="1419225"/>
          <a:ext cx="323850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2</xdr:row>
      <xdr:rowOff>57150</xdr:rowOff>
    </xdr:from>
    <xdr:to>
      <xdr:col>3</xdr:col>
      <xdr:colOff>180975</xdr:colOff>
      <xdr:row>3</xdr:row>
      <xdr:rowOff>133350</xdr:rowOff>
    </xdr:to>
    <xdr:cxnSp macro="">
      <xdr:nvCxnSpPr>
        <xdr:cNvPr id="4" name="Straight Connector 3"/>
        <xdr:cNvCxnSpPr/>
      </xdr:nvCxnSpPr>
      <xdr:spPr>
        <a:xfrm flipV="1">
          <a:off x="2066925" y="438150"/>
          <a:ext cx="37147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2</xdr:row>
      <xdr:rowOff>85725</xdr:rowOff>
    </xdr:from>
    <xdr:to>
      <xdr:col>3</xdr:col>
      <xdr:colOff>152400</xdr:colOff>
      <xdr:row>3</xdr:row>
      <xdr:rowOff>152400</xdr:rowOff>
    </xdr:to>
    <xdr:cxnSp macro="">
      <xdr:nvCxnSpPr>
        <xdr:cNvPr id="2" name="Straight Connector 1"/>
        <xdr:cNvCxnSpPr/>
      </xdr:nvCxnSpPr>
      <xdr:spPr>
        <a:xfrm flipV="1">
          <a:off x="2028825" y="466725"/>
          <a:ext cx="381000" cy="257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533400</xdr:colOff>
      <xdr:row>40</xdr:row>
      <xdr:rowOff>57150</xdr:rowOff>
    </xdr:from>
    <xdr:to>
      <xdr:col>3</xdr:col>
      <xdr:colOff>152400</xdr:colOff>
      <xdr:row>41</xdr:row>
      <xdr:rowOff>133350</xdr:rowOff>
    </xdr:to>
    <xdr:cxnSp macro="">
      <xdr:nvCxnSpPr>
        <xdr:cNvPr id="5" name="Straight Connector 4"/>
        <xdr:cNvCxnSpPr/>
      </xdr:nvCxnSpPr>
      <xdr:spPr>
        <a:xfrm flipV="1">
          <a:off x="2038350" y="10115550"/>
          <a:ext cx="37147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542925</xdr:colOff>
      <xdr:row>61</xdr:row>
      <xdr:rowOff>47625</xdr:rowOff>
    </xdr:from>
    <xdr:to>
      <xdr:col>3</xdr:col>
      <xdr:colOff>161925</xdr:colOff>
      <xdr:row>62</xdr:row>
      <xdr:rowOff>152400</xdr:rowOff>
    </xdr:to>
    <xdr:cxnSp macro="">
      <xdr:nvCxnSpPr>
        <xdr:cNvPr id="6" name="Straight Connector 5"/>
        <xdr:cNvCxnSpPr/>
      </xdr:nvCxnSpPr>
      <xdr:spPr>
        <a:xfrm flipV="1">
          <a:off x="2047875" y="14630400"/>
          <a:ext cx="371475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132</xdr:row>
      <xdr:rowOff>95250</xdr:rowOff>
    </xdr:from>
    <xdr:to>
      <xdr:col>3</xdr:col>
      <xdr:colOff>552450</xdr:colOff>
      <xdr:row>132</xdr:row>
      <xdr:rowOff>95250</xdr:rowOff>
    </xdr:to>
    <xdr:cxnSp macro="">
      <xdr:nvCxnSpPr>
        <xdr:cNvPr id="9" name="Straight Arrow Connector 8"/>
        <xdr:cNvCxnSpPr/>
      </xdr:nvCxnSpPr>
      <xdr:spPr>
        <a:xfrm>
          <a:off x="2295525" y="26812875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533400</xdr:colOff>
      <xdr:row>93</xdr:row>
      <xdr:rowOff>57150</xdr:rowOff>
    </xdr:from>
    <xdr:to>
      <xdr:col>3</xdr:col>
      <xdr:colOff>152400</xdr:colOff>
      <xdr:row>94</xdr:row>
      <xdr:rowOff>133350</xdr:rowOff>
    </xdr:to>
    <xdr:cxnSp macro="">
      <xdr:nvCxnSpPr>
        <xdr:cNvPr id="10" name="Straight Connector 9"/>
        <xdr:cNvCxnSpPr/>
      </xdr:nvCxnSpPr>
      <xdr:spPr>
        <a:xfrm flipV="1">
          <a:off x="2038350" y="26003250"/>
          <a:ext cx="37147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523875</xdr:colOff>
      <xdr:row>141</xdr:row>
      <xdr:rowOff>57150</xdr:rowOff>
    </xdr:from>
    <xdr:to>
      <xdr:col>3</xdr:col>
      <xdr:colOff>142875</xdr:colOff>
      <xdr:row>142</xdr:row>
      <xdr:rowOff>133350</xdr:rowOff>
    </xdr:to>
    <xdr:cxnSp macro="">
      <xdr:nvCxnSpPr>
        <xdr:cNvPr id="11" name="Straight Connector 10"/>
        <xdr:cNvCxnSpPr/>
      </xdr:nvCxnSpPr>
      <xdr:spPr>
        <a:xfrm flipV="1">
          <a:off x="2028825" y="27936825"/>
          <a:ext cx="37147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44</xdr:row>
      <xdr:rowOff>95250</xdr:rowOff>
    </xdr:from>
    <xdr:to>
      <xdr:col>3</xdr:col>
      <xdr:colOff>552450</xdr:colOff>
      <xdr:row>44</xdr:row>
      <xdr:rowOff>95250</xdr:rowOff>
    </xdr:to>
    <xdr:cxnSp macro="">
      <xdr:nvCxnSpPr>
        <xdr:cNvPr id="13" name="Straight Arrow Connector 12"/>
        <xdr:cNvCxnSpPr/>
      </xdr:nvCxnSpPr>
      <xdr:spPr>
        <a:xfrm>
          <a:off x="2295525" y="1226820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50</xdr:row>
      <xdr:rowOff>95250</xdr:rowOff>
    </xdr:from>
    <xdr:to>
      <xdr:col>3</xdr:col>
      <xdr:colOff>552450</xdr:colOff>
      <xdr:row>50</xdr:row>
      <xdr:rowOff>95250</xdr:rowOff>
    </xdr:to>
    <xdr:cxnSp macro="">
      <xdr:nvCxnSpPr>
        <xdr:cNvPr id="14" name="Straight Arrow Connector 13"/>
        <xdr:cNvCxnSpPr/>
      </xdr:nvCxnSpPr>
      <xdr:spPr>
        <a:xfrm>
          <a:off x="2295525" y="1344930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542925</xdr:colOff>
      <xdr:row>80</xdr:row>
      <xdr:rowOff>47625</xdr:rowOff>
    </xdr:from>
    <xdr:to>
      <xdr:col>3</xdr:col>
      <xdr:colOff>161925</xdr:colOff>
      <xdr:row>81</xdr:row>
      <xdr:rowOff>152400</xdr:rowOff>
    </xdr:to>
    <xdr:cxnSp macro="">
      <xdr:nvCxnSpPr>
        <xdr:cNvPr id="16" name="Straight Connector 15"/>
        <xdr:cNvCxnSpPr/>
      </xdr:nvCxnSpPr>
      <xdr:spPr>
        <a:xfrm flipV="1">
          <a:off x="2047875" y="12220575"/>
          <a:ext cx="371475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65</xdr:row>
      <xdr:rowOff>95250</xdr:rowOff>
    </xdr:from>
    <xdr:to>
      <xdr:col>3</xdr:col>
      <xdr:colOff>552450</xdr:colOff>
      <xdr:row>65</xdr:row>
      <xdr:rowOff>95250</xdr:rowOff>
    </xdr:to>
    <xdr:cxnSp macro="">
      <xdr:nvCxnSpPr>
        <xdr:cNvPr id="17" name="Straight Arrow Connector 16"/>
        <xdr:cNvCxnSpPr/>
      </xdr:nvCxnSpPr>
      <xdr:spPr>
        <a:xfrm>
          <a:off x="2295525" y="9896475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71</xdr:row>
      <xdr:rowOff>95250</xdr:rowOff>
    </xdr:from>
    <xdr:to>
      <xdr:col>3</xdr:col>
      <xdr:colOff>552450</xdr:colOff>
      <xdr:row>71</xdr:row>
      <xdr:rowOff>95250</xdr:rowOff>
    </xdr:to>
    <xdr:cxnSp macro="">
      <xdr:nvCxnSpPr>
        <xdr:cNvPr id="18" name="Straight Arrow Connector 17"/>
        <xdr:cNvCxnSpPr/>
      </xdr:nvCxnSpPr>
      <xdr:spPr>
        <a:xfrm>
          <a:off x="2295525" y="11077575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533400</xdr:colOff>
      <xdr:row>24</xdr:row>
      <xdr:rowOff>85725</xdr:rowOff>
    </xdr:from>
    <xdr:to>
      <xdr:col>3</xdr:col>
      <xdr:colOff>152400</xdr:colOff>
      <xdr:row>25</xdr:row>
      <xdr:rowOff>161925</xdr:rowOff>
    </xdr:to>
    <xdr:cxnSp macro="">
      <xdr:nvCxnSpPr>
        <xdr:cNvPr id="20" name="Straight Connector 19"/>
        <xdr:cNvCxnSpPr/>
      </xdr:nvCxnSpPr>
      <xdr:spPr>
        <a:xfrm flipV="1">
          <a:off x="2038350" y="3371850"/>
          <a:ext cx="37147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533400</xdr:colOff>
      <xdr:row>128</xdr:row>
      <xdr:rowOff>57150</xdr:rowOff>
    </xdr:from>
    <xdr:to>
      <xdr:col>3</xdr:col>
      <xdr:colOff>152400</xdr:colOff>
      <xdr:row>129</xdr:row>
      <xdr:rowOff>133350</xdr:rowOff>
    </xdr:to>
    <xdr:cxnSp macro="">
      <xdr:nvCxnSpPr>
        <xdr:cNvPr id="23" name="Straight Connector 22"/>
        <xdr:cNvCxnSpPr/>
      </xdr:nvCxnSpPr>
      <xdr:spPr>
        <a:xfrm flipV="1">
          <a:off x="2038350" y="26860500"/>
          <a:ext cx="37147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8</xdr:row>
      <xdr:rowOff>95250</xdr:rowOff>
    </xdr:from>
    <xdr:to>
      <xdr:col>3</xdr:col>
      <xdr:colOff>552450</xdr:colOff>
      <xdr:row>8</xdr:row>
      <xdr:rowOff>95250</xdr:rowOff>
    </xdr:to>
    <xdr:cxnSp macro="">
      <xdr:nvCxnSpPr>
        <xdr:cNvPr id="7" name="Straight Arrow Connector 6"/>
        <xdr:cNvCxnSpPr/>
      </xdr:nvCxnSpPr>
      <xdr:spPr>
        <a:xfrm>
          <a:off x="2295525" y="16602075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14</xdr:row>
      <xdr:rowOff>76200</xdr:rowOff>
    </xdr:from>
    <xdr:to>
      <xdr:col>3</xdr:col>
      <xdr:colOff>180975</xdr:colOff>
      <xdr:row>15</xdr:row>
      <xdr:rowOff>152400</xdr:rowOff>
    </xdr:to>
    <xdr:cxnSp macro="">
      <xdr:nvCxnSpPr>
        <xdr:cNvPr id="11" name="Straight Connector 10"/>
        <xdr:cNvCxnSpPr/>
      </xdr:nvCxnSpPr>
      <xdr:spPr>
        <a:xfrm flipV="1">
          <a:off x="2066925" y="2762250"/>
          <a:ext cx="37147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12</xdr:row>
      <xdr:rowOff>95250</xdr:rowOff>
    </xdr:from>
    <xdr:to>
      <xdr:col>3</xdr:col>
      <xdr:colOff>552450</xdr:colOff>
      <xdr:row>12</xdr:row>
      <xdr:rowOff>95250</xdr:rowOff>
    </xdr:to>
    <xdr:cxnSp macro="">
      <xdr:nvCxnSpPr>
        <xdr:cNvPr id="15" name="Straight Arrow Connector 14"/>
        <xdr:cNvCxnSpPr/>
      </xdr:nvCxnSpPr>
      <xdr:spPr>
        <a:xfrm>
          <a:off x="2295525" y="1238250"/>
          <a:ext cx="514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571500</xdr:colOff>
      <xdr:row>2</xdr:row>
      <xdr:rowOff>76200</xdr:rowOff>
    </xdr:from>
    <xdr:to>
      <xdr:col>3</xdr:col>
      <xdr:colOff>190500</xdr:colOff>
      <xdr:row>3</xdr:row>
      <xdr:rowOff>152400</xdr:rowOff>
    </xdr:to>
    <xdr:cxnSp macro="">
      <xdr:nvCxnSpPr>
        <xdr:cNvPr id="5" name="Straight Connector 4"/>
        <xdr:cNvCxnSpPr/>
      </xdr:nvCxnSpPr>
      <xdr:spPr>
        <a:xfrm flipV="1">
          <a:off x="2076450" y="457200"/>
          <a:ext cx="371475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51"/>
  <sheetViews>
    <sheetView tabSelected="1" view="pageLayout" zoomScale="75" zoomScalePageLayoutView="75" workbookViewId="0">
      <selection activeCell="C9" sqref="C9:F9"/>
    </sheetView>
  </sheetViews>
  <sheetFormatPr defaultRowHeight="15"/>
  <cols>
    <col min="2" max="2" width="15.28515625" style="79" bestFit="1" customWidth="1"/>
    <col min="3" max="3" width="9.140625" style="79"/>
    <col min="4" max="4" width="13.42578125" style="79" bestFit="1" customWidth="1"/>
    <col min="5" max="5" width="3.7109375" style="79" bestFit="1" customWidth="1"/>
    <col min="6" max="6" width="10.5703125" style="79" customWidth="1"/>
    <col min="7" max="7" width="19.42578125" style="164" customWidth="1"/>
    <col min="8" max="8" width="9.7109375" style="79" customWidth="1"/>
    <col min="9" max="9" width="12" style="79" bestFit="1" customWidth="1"/>
  </cols>
  <sheetData>
    <row r="1" spans="1:11" s="174" customFormat="1" ht="23.25">
      <c r="A1" s="369" t="s">
        <v>943</v>
      </c>
      <c r="B1" s="369"/>
      <c r="C1" s="369"/>
      <c r="D1" s="369"/>
      <c r="E1" s="369"/>
      <c r="F1" s="369"/>
      <c r="G1" s="369"/>
      <c r="H1" s="369"/>
      <c r="I1" s="369"/>
      <c r="J1" s="369"/>
      <c r="K1" s="178"/>
    </row>
    <row r="2" spans="1:11">
      <c r="B2" s="162"/>
      <c r="C2" s="162"/>
      <c r="D2" s="162"/>
      <c r="E2" s="162"/>
      <c r="F2" s="162"/>
      <c r="G2" s="163"/>
      <c r="H2" s="162"/>
      <c r="I2" s="162"/>
    </row>
    <row r="3" spans="1:11" s="142" customFormat="1" ht="18.75">
      <c r="B3" s="165" t="s">
        <v>183</v>
      </c>
      <c r="C3" s="367" t="s">
        <v>945</v>
      </c>
      <c r="D3" s="367"/>
      <c r="E3" s="367"/>
      <c r="F3" s="367"/>
      <c r="G3" s="166" t="s">
        <v>186</v>
      </c>
      <c r="H3" s="367" t="s">
        <v>292</v>
      </c>
      <c r="I3" s="367"/>
    </row>
    <row r="4" spans="1:11" s="142" customFormat="1" ht="18.75">
      <c r="B4" s="165"/>
      <c r="C4" s="367"/>
      <c r="D4" s="367"/>
      <c r="E4" s="367"/>
      <c r="F4" s="367"/>
      <c r="G4" s="166"/>
      <c r="H4" s="367"/>
      <c r="I4" s="367"/>
    </row>
    <row r="5" spans="1:11" s="142" customFormat="1" ht="18.75">
      <c r="B5" s="165"/>
      <c r="C5" s="367"/>
      <c r="D5" s="367"/>
      <c r="E5" s="367"/>
      <c r="F5" s="367"/>
      <c r="G5" s="166" t="s">
        <v>187</v>
      </c>
      <c r="H5" s="367" t="s">
        <v>292</v>
      </c>
      <c r="I5" s="367"/>
    </row>
    <row r="6" spans="1:11" s="142" customFormat="1" ht="18.75">
      <c r="B6" s="165" t="s">
        <v>184</v>
      </c>
      <c r="C6" s="367" t="s">
        <v>944</v>
      </c>
      <c r="D6" s="367"/>
      <c r="E6" s="367"/>
      <c r="F6" s="367"/>
      <c r="G6" s="166"/>
      <c r="H6" s="367"/>
      <c r="I6" s="367"/>
    </row>
    <row r="7" spans="1:11" s="142" customFormat="1" ht="18.75">
      <c r="B7" s="165"/>
      <c r="C7" s="367"/>
      <c r="D7" s="367"/>
      <c r="E7" s="367"/>
      <c r="F7" s="367"/>
      <c r="G7" s="166" t="s">
        <v>188</v>
      </c>
      <c r="H7" s="367" t="s">
        <v>911</v>
      </c>
      <c r="I7" s="367"/>
    </row>
    <row r="8" spans="1:11" s="142" customFormat="1" ht="18.75">
      <c r="B8" s="165"/>
      <c r="C8" s="367"/>
      <c r="D8" s="367"/>
      <c r="E8" s="367"/>
      <c r="F8" s="367"/>
      <c r="G8" s="166"/>
      <c r="H8" s="367"/>
      <c r="I8" s="367"/>
    </row>
    <row r="9" spans="1:11" s="142" customFormat="1" ht="18.75">
      <c r="B9" s="165" t="s">
        <v>185</v>
      </c>
      <c r="C9" s="367" t="s">
        <v>946</v>
      </c>
      <c r="D9" s="367"/>
      <c r="E9" s="367"/>
      <c r="F9" s="367"/>
      <c r="G9" s="166" t="s">
        <v>189</v>
      </c>
      <c r="H9" s="209">
        <f>Preliminaries!C3</f>
        <v>24</v>
      </c>
      <c r="I9" s="208" t="s">
        <v>182</v>
      </c>
    </row>
    <row r="10" spans="1:11" s="142" customFormat="1" ht="18.75">
      <c r="B10" s="165"/>
      <c r="C10" s="367"/>
      <c r="D10" s="367"/>
      <c r="E10" s="367"/>
      <c r="F10" s="367"/>
      <c r="G10" s="166"/>
      <c r="H10" s="367"/>
      <c r="I10" s="367"/>
    </row>
    <row r="11" spans="1:11" ht="18.75">
      <c r="B11" s="167"/>
      <c r="C11" s="367"/>
      <c r="D11" s="367"/>
      <c r="E11" s="367"/>
      <c r="F11" s="367"/>
      <c r="G11" s="168" t="s">
        <v>191</v>
      </c>
      <c r="H11" s="368" t="s">
        <v>190</v>
      </c>
      <c r="I11" s="368"/>
    </row>
    <row r="12" spans="1:11" ht="18.75">
      <c r="B12" s="364" t="s">
        <v>192</v>
      </c>
      <c r="C12" s="365"/>
      <c r="D12" s="366"/>
      <c r="E12" s="379" t="s">
        <v>3</v>
      </c>
      <c r="F12" s="379"/>
      <c r="G12" s="169">
        <f ca="1">Collection!D30</f>
        <v>27225.087394374998</v>
      </c>
      <c r="H12" s="170"/>
      <c r="I12" s="170"/>
    </row>
    <row r="13" spans="1:11" ht="18.75">
      <c r="B13" s="364"/>
      <c r="C13" s="365"/>
      <c r="D13" s="366"/>
      <c r="E13" s="379" t="s">
        <v>4</v>
      </c>
      <c r="F13" s="379"/>
      <c r="G13" s="169">
        <f ca="1">Collection!E30</f>
        <v>5781.5323445833337</v>
      </c>
      <c r="H13" s="170"/>
      <c r="I13" s="170"/>
    </row>
    <row r="14" spans="1:11" ht="18.75">
      <c r="B14" s="364"/>
      <c r="C14" s="365"/>
      <c r="D14" s="366"/>
      <c r="E14" s="379" t="s">
        <v>5</v>
      </c>
      <c r="F14" s="379"/>
      <c r="G14" s="169">
        <f ca="1">'Material Analysis'!O119</f>
        <v>59506.748380999998</v>
      </c>
      <c r="H14" s="170"/>
      <c r="I14" s="170"/>
    </row>
    <row r="15" spans="1:11" ht="18.75">
      <c r="B15" s="364" t="s">
        <v>193</v>
      </c>
      <c r="C15" s="365"/>
      <c r="D15" s="366"/>
      <c r="E15" s="379" t="s">
        <v>201</v>
      </c>
      <c r="F15" s="379"/>
      <c r="G15" s="169">
        <f>'Sub-contractor analysis'!D45</f>
        <v>54100</v>
      </c>
      <c r="H15" s="170"/>
      <c r="I15" s="170"/>
    </row>
    <row r="16" spans="1:11" ht="18.75">
      <c r="B16" s="364"/>
      <c r="C16" s="365"/>
      <c r="D16" s="366"/>
      <c r="E16" s="379" t="s">
        <v>194</v>
      </c>
      <c r="F16" s="379"/>
      <c r="G16" s="169">
        <v>0</v>
      </c>
      <c r="H16" s="170"/>
      <c r="I16" s="170"/>
    </row>
    <row r="17" spans="2:9" ht="18.75">
      <c r="B17" s="364"/>
      <c r="C17" s="365"/>
      <c r="D17" s="366"/>
      <c r="E17" s="364"/>
      <c r="F17" s="366"/>
      <c r="G17" s="169"/>
      <c r="H17" s="170"/>
      <c r="I17" s="170"/>
    </row>
    <row r="18" spans="2:9" ht="18.75">
      <c r="B18" s="364" t="s">
        <v>195</v>
      </c>
      <c r="C18" s="365"/>
      <c r="D18" s="366"/>
      <c r="E18" s="364"/>
      <c r="F18" s="366"/>
      <c r="G18" s="169">
        <v>0</v>
      </c>
      <c r="H18" s="170"/>
      <c r="I18" s="170"/>
    </row>
    <row r="19" spans="2:9" ht="18.75">
      <c r="B19" s="364"/>
      <c r="C19" s="365"/>
      <c r="D19" s="366"/>
      <c r="E19" s="364"/>
      <c r="F19" s="366"/>
      <c r="G19" s="169"/>
      <c r="H19" s="170"/>
      <c r="I19" s="170"/>
    </row>
    <row r="20" spans="2:9" ht="18.75">
      <c r="B20" s="364"/>
      <c r="C20" s="365"/>
      <c r="D20" s="366"/>
      <c r="E20" s="364"/>
      <c r="F20" s="366"/>
      <c r="G20" s="169"/>
      <c r="H20" s="170"/>
      <c r="I20" s="170"/>
    </row>
    <row r="21" spans="2:9" ht="18.75">
      <c r="B21" s="364" t="s">
        <v>196</v>
      </c>
      <c r="C21" s="365"/>
      <c r="D21" s="366"/>
      <c r="E21" s="364"/>
      <c r="F21" s="366"/>
      <c r="G21" s="169">
        <f>Preliminaries!G47</f>
        <v>18434</v>
      </c>
      <c r="H21" s="170"/>
      <c r="I21" s="170"/>
    </row>
    <row r="22" spans="2:9" ht="18.75">
      <c r="B22" s="364"/>
      <c r="C22" s="365"/>
      <c r="D22" s="366"/>
      <c r="E22" s="364"/>
      <c r="F22" s="366"/>
      <c r="G22" s="169"/>
      <c r="H22" s="170"/>
      <c r="I22" s="170"/>
    </row>
    <row r="23" spans="2:9" ht="18.75">
      <c r="B23" s="364"/>
      <c r="C23" s="365"/>
      <c r="D23" s="366"/>
      <c r="E23" s="364"/>
      <c r="F23" s="366"/>
      <c r="G23" s="169"/>
      <c r="H23" s="170"/>
      <c r="I23" s="170"/>
    </row>
    <row r="24" spans="2:9" ht="18.75">
      <c r="B24" s="364" t="s">
        <v>197</v>
      </c>
      <c r="C24" s="365"/>
      <c r="D24" s="366"/>
      <c r="E24" s="364"/>
      <c r="F24" s="366"/>
      <c r="G24" s="169">
        <v>0</v>
      </c>
      <c r="H24" s="170"/>
      <c r="I24" s="170"/>
    </row>
    <row r="25" spans="2:9" ht="18.75">
      <c r="B25" s="364"/>
      <c r="C25" s="365"/>
      <c r="D25" s="366"/>
      <c r="E25" s="364"/>
      <c r="F25" s="366"/>
      <c r="G25" s="169"/>
      <c r="H25" s="170"/>
      <c r="I25" s="170"/>
    </row>
    <row r="26" spans="2:9" ht="18.75">
      <c r="B26" s="364"/>
      <c r="C26" s="365"/>
      <c r="D26" s="366"/>
      <c r="E26" s="364"/>
      <c r="F26" s="366"/>
      <c r="G26" s="169"/>
      <c r="H26" s="170"/>
      <c r="I26" s="170"/>
    </row>
    <row r="27" spans="2:9" ht="18.75">
      <c r="B27" s="364" t="s">
        <v>198</v>
      </c>
      <c r="C27" s="365"/>
      <c r="D27" s="366"/>
      <c r="E27" s="364"/>
      <c r="F27" s="366"/>
      <c r="G27" s="169">
        <v>0</v>
      </c>
      <c r="H27" s="170"/>
      <c r="I27" s="170"/>
    </row>
    <row r="28" spans="2:9" ht="18.75">
      <c r="B28" s="364"/>
      <c r="C28" s="365"/>
      <c r="D28" s="366"/>
      <c r="E28" s="364"/>
      <c r="F28" s="366"/>
      <c r="G28" s="169"/>
      <c r="H28" s="170"/>
      <c r="I28" s="170"/>
    </row>
    <row r="29" spans="2:9" ht="18.75">
      <c r="B29" s="364"/>
      <c r="C29" s="365"/>
      <c r="D29" s="366"/>
      <c r="E29" s="364"/>
      <c r="F29" s="366"/>
      <c r="G29" s="169"/>
      <c r="H29" s="170"/>
      <c r="I29" s="170"/>
    </row>
    <row r="30" spans="2:9" ht="18.75">
      <c r="B30" s="364" t="s">
        <v>180</v>
      </c>
      <c r="C30" s="365"/>
      <c r="D30" s="366"/>
      <c r="E30" s="364" t="s">
        <v>346</v>
      </c>
      <c r="F30" s="366"/>
      <c r="G30" s="169">
        <f ca="1">'Labour Analysis'!I115</f>
        <v>3702.9126056250002</v>
      </c>
      <c r="H30" s="170"/>
      <c r="I30" s="170"/>
    </row>
    <row r="31" spans="2:9" ht="18.75">
      <c r="B31" s="364"/>
      <c r="C31" s="365"/>
      <c r="D31" s="366"/>
      <c r="E31" s="364" t="s">
        <v>347</v>
      </c>
      <c r="F31" s="366"/>
      <c r="G31" s="169">
        <f ca="1">'Plant Analysis'!H60</f>
        <v>93.46765541666673</v>
      </c>
      <c r="H31" s="170"/>
      <c r="I31" s="170"/>
    </row>
    <row r="32" spans="2:9" ht="18.75">
      <c r="B32" s="375"/>
      <c r="C32" s="376"/>
      <c r="D32" s="377"/>
      <c r="E32" s="375"/>
      <c r="F32" s="377"/>
      <c r="G32" s="169"/>
      <c r="H32" s="229"/>
      <c r="I32" s="229"/>
    </row>
    <row r="33" spans="2:9" ht="18.75">
      <c r="B33" s="364"/>
      <c r="C33" s="365"/>
      <c r="D33" s="366"/>
      <c r="E33" s="364"/>
      <c r="F33" s="366"/>
      <c r="G33" s="169"/>
      <c r="H33" s="170"/>
      <c r="I33" s="170"/>
    </row>
    <row r="34" spans="2:9" ht="18.75">
      <c r="B34" s="370"/>
      <c r="C34" s="370"/>
      <c r="D34" s="371"/>
      <c r="E34" s="364" t="s">
        <v>177</v>
      </c>
      <c r="F34" s="366"/>
      <c r="G34" s="169">
        <f ca="1">SUM(G12:G33)</f>
        <v>168843.74838099998</v>
      </c>
      <c r="H34" s="172">
        <f ca="1">SUM(I34/G34)</f>
        <v>0.15500000000000003</v>
      </c>
      <c r="I34" s="169">
        <f ca="1">SUM(G36:G37)</f>
        <v>26170.780999055001</v>
      </c>
    </row>
    <row r="35" spans="2:9" ht="18.75">
      <c r="B35" s="372"/>
      <c r="C35" s="372"/>
      <c r="D35" s="372"/>
      <c r="E35" s="372"/>
      <c r="F35" s="372"/>
      <c r="G35" s="171"/>
      <c r="H35" s="175"/>
      <c r="I35" s="175"/>
    </row>
    <row r="36" spans="2:9" ht="18.75">
      <c r="B36" s="372"/>
      <c r="C36" s="373"/>
      <c r="D36" s="170" t="s">
        <v>199</v>
      </c>
      <c r="E36" s="170" t="s">
        <v>200</v>
      </c>
      <c r="F36" s="172">
        <v>0.1</v>
      </c>
      <c r="G36" s="169">
        <f ca="1">G34*F36</f>
        <v>16884.3748381</v>
      </c>
      <c r="H36" s="176"/>
      <c r="I36" s="177"/>
    </row>
    <row r="37" spans="2:9" ht="18.75">
      <c r="B37" s="372"/>
      <c r="C37" s="373"/>
      <c r="D37" s="170" t="s">
        <v>202</v>
      </c>
      <c r="E37" s="170" t="s">
        <v>200</v>
      </c>
      <c r="F37" s="172">
        <v>0.05</v>
      </c>
      <c r="G37" s="169">
        <f ca="1">(G34+G36)*F37</f>
        <v>9286.406160954999</v>
      </c>
      <c r="H37" s="176"/>
      <c r="I37" s="177"/>
    </row>
    <row r="38" spans="2:9" ht="18.75">
      <c r="B38" s="372"/>
      <c r="C38" s="372"/>
      <c r="D38" s="372"/>
      <c r="E38" s="372"/>
      <c r="F38" s="372"/>
      <c r="G38" s="171"/>
      <c r="H38" s="177"/>
      <c r="I38" s="177"/>
    </row>
    <row r="39" spans="2:9" ht="18.75">
      <c r="B39" s="372"/>
      <c r="C39" s="372"/>
      <c r="D39" s="373"/>
      <c r="E39" s="364" t="s">
        <v>9</v>
      </c>
      <c r="F39" s="366"/>
      <c r="G39" s="169">
        <f ca="1">G34+G36+G37</f>
        <v>195014.52938005497</v>
      </c>
      <c r="H39" s="176"/>
      <c r="I39" s="177"/>
    </row>
    <row r="40" spans="2:9" ht="18.75">
      <c r="B40" s="374"/>
      <c r="C40" s="374"/>
      <c r="D40" s="374"/>
      <c r="E40" s="374"/>
      <c r="F40" s="374"/>
      <c r="G40" s="171"/>
      <c r="H40" s="177"/>
      <c r="I40" s="177"/>
    </row>
    <row r="41" spans="2:9" ht="18.75">
      <c r="B41" s="364" t="s">
        <v>204</v>
      </c>
      <c r="C41" s="365"/>
      <c r="D41" s="365"/>
      <c r="E41" s="365"/>
      <c r="F41" s="366"/>
      <c r="G41" s="169">
        <f>Collection!J30</f>
        <v>3250</v>
      </c>
      <c r="H41" s="176"/>
      <c r="I41" s="177"/>
    </row>
    <row r="42" spans="2:9" ht="18.75">
      <c r="B42" s="364" t="s">
        <v>203</v>
      </c>
      <c r="C42" s="365"/>
      <c r="D42" s="365"/>
      <c r="E42" s="365"/>
      <c r="F42" s="366"/>
      <c r="G42" s="169">
        <v>0</v>
      </c>
      <c r="H42" s="176"/>
      <c r="I42" s="177"/>
    </row>
    <row r="43" spans="2:9" ht="18.75">
      <c r="B43" s="364" t="s">
        <v>209</v>
      </c>
      <c r="C43" s="365"/>
      <c r="D43" s="365"/>
      <c r="E43" s="365"/>
      <c r="F43" s="366"/>
      <c r="G43" s="169">
        <v>0</v>
      </c>
      <c r="H43" s="176"/>
      <c r="I43" s="177"/>
    </row>
    <row r="44" spans="2:9" ht="18.75">
      <c r="B44" s="364" t="s">
        <v>205</v>
      </c>
      <c r="C44" s="365"/>
      <c r="D44" s="365"/>
      <c r="E44" s="365"/>
      <c r="F44" s="366"/>
      <c r="G44" s="169">
        <v>0</v>
      </c>
      <c r="H44" s="176"/>
      <c r="I44" s="177"/>
    </row>
    <row r="45" spans="2:9" ht="18.75">
      <c r="B45" s="364" t="s">
        <v>206</v>
      </c>
      <c r="C45" s="365"/>
      <c r="D45" s="365"/>
      <c r="E45" s="365"/>
      <c r="F45" s="366"/>
      <c r="G45" s="169">
        <v>0</v>
      </c>
      <c r="H45" s="176"/>
      <c r="I45" s="177"/>
    </row>
    <row r="46" spans="2:9" ht="18.75">
      <c r="B46" s="364" t="s">
        <v>164</v>
      </c>
      <c r="C46" s="365"/>
      <c r="D46" s="365"/>
      <c r="E46" s="365"/>
      <c r="F46" s="366"/>
      <c r="G46" s="169">
        <v>0</v>
      </c>
      <c r="H46" s="176"/>
      <c r="I46" s="177"/>
    </row>
    <row r="47" spans="2:9" ht="18.75">
      <c r="B47" s="370"/>
      <c r="C47" s="371"/>
      <c r="D47" s="379" t="s">
        <v>207</v>
      </c>
      <c r="E47" s="379"/>
      <c r="F47" s="379"/>
      <c r="G47" s="169">
        <f ca="1">SUM(G39:G46)</f>
        <v>198264.52938005497</v>
      </c>
      <c r="H47" s="176"/>
      <c r="I47" s="177"/>
    </row>
    <row r="48" spans="2:9" ht="19.5" thickBot="1">
      <c r="B48" s="372"/>
      <c r="C48" s="373"/>
      <c r="D48" s="381" t="s">
        <v>178</v>
      </c>
      <c r="E48" s="381"/>
      <c r="F48" s="381"/>
      <c r="G48" s="173">
        <v>0</v>
      </c>
      <c r="H48" s="176"/>
      <c r="I48" s="177"/>
    </row>
    <row r="49" spans="2:9" ht="20.25" thickTop="1" thickBot="1">
      <c r="B49" s="372"/>
      <c r="C49" s="372"/>
      <c r="D49" s="380" t="s">
        <v>208</v>
      </c>
      <c r="E49" s="380"/>
      <c r="F49" s="380"/>
      <c r="G49" s="352">
        <f ca="1">SUM(G47:G48)</f>
        <v>198264.52938005497</v>
      </c>
      <c r="H49" s="177"/>
      <c r="I49" s="177"/>
    </row>
    <row r="50" spans="2:9" ht="15.75" thickTop="1"/>
    <row r="51" spans="2:9">
      <c r="B51" s="378" t="s">
        <v>235</v>
      </c>
      <c r="C51" s="378"/>
      <c r="D51" s="210">
        <f ca="1">SUM((G21+G36+G37)/(G12+G13+G14+G15))</f>
        <v>0.30423406522220808</v>
      </c>
      <c r="G51" s="194" t="s">
        <v>236</v>
      </c>
      <c r="H51" s="211">
        <f ca="1">G49/(('Ground floor (Beam &amp; Block)'!H7+'First-floor'!H40)*10.764)</f>
        <v>129.68773095687663</v>
      </c>
      <c r="I51" s="339">
        <f ca="1">(('Ground floor (Beam &amp; Block)'!H7+'First-floor'!H40)*10.764)</f>
        <v>1528.7840099999999</v>
      </c>
    </row>
  </sheetData>
  <sheetProtection sheet="1" objects="1" scenarios="1" selectLockedCells="1" selectUnlockedCells="1"/>
  <mergeCells count="81">
    <mergeCell ref="B32:D32"/>
    <mergeCell ref="E32:F32"/>
    <mergeCell ref="B51:C51"/>
    <mergeCell ref="C3:F3"/>
    <mergeCell ref="E12:F12"/>
    <mergeCell ref="E13:F13"/>
    <mergeCell ref="E14:F14"/>
    <mergeCell ref="B12:D12"/>
    <mergeCell ref="B13:D13"/>
    <mergeCell ref="B14:D14"/>
    <mergeCell ref="C11:F11"/>
    <mergeCell ref="E15:F15"/>
    <mergeCell ref="E16:F16"/>
    <mergeCell ref="D49:F49"/>
    <mergeCell ref="D48:F48"/>
    <mergeCell ref="D47:F47"/>
    <mergeCell ref="B15:D15"/>
    <mergeCell ref="B16:D16"/>
    <mergeCell ref="B17:D17"/>
    <mergeCell ref="B18:D18"/>
    <mergeCell ref="B19:D19"/>
    <mergeCell ref="B20:D20"/>
    <mergeCell ref="B21:D21"/>
    <mergeCell ref="E21:F21"/>
    <mergeCell ref="B30:D30"/>
    <mergeCell ref="B36:C37"/>
    <mergeCell ref="B26:D26"/>
    <mergeCell ref="B28:D28"/>
    <mergeCell ref="B29:D29"/>
    <mergeCell ref="B24:D24"/>
    <mergeCell ref="B27:D27"/>
    <mergeCell ref="B31:D31"/>
    <mergeCell ref="B33:D33"/>
    <mergeCell ref="E22:F22"/>
    <mergeCell ref="E23:F23"/>
    <mergeCell ref="E24:F24"/>
    <mergeCell ref="E25:F25"/>
    <mergeCell ref="H8:I8"/>
    <mergeCell ref="H10:I10"/>
    <mergeCell ref="C4:F4"/>
    <mergeCell ref="C5:F5"/>
    <mergeCell ref="C6:F6"/>
    <mergeCell ref="C7:F7"/>
    <mergeCell ref="C8:F8"/>
    <mergeCell ref="H3:I3"/>
    <mergeCell ref="H4:I4"/>
    <mergeCell ref="H5:I5"/>
    <mergeCell ref="H6:I6"/>
    <mergeCell ref="H7:I7"/>
    <mergeCell ref="A1:J1"/>
    <mergeCell ref="B47:C49"/>
    <mergeCell ref="E34:F34"/>
    <mergeCell ref="E39:F39"/>
    <mergeCell ref="B38:F38"/>
    <mergeCell ref="B40:F40"/>
    <mergeCell ref="B39:D39"/>
    <mergeCell ref="B35:F35"/>
    <mergeCell ref="B34:D34"/>
    <mergeCell ref="B43:F43"/>
    <mergeCell ref="B41:F41"/>
    <mergeCell ref="B42:F42"/>
    <mergeCell ref="B44:F44"/>
    <mergeCell ref="E33:F33"/>
    <mergeCell ref="B22:D22"/>
    <mergeCell ref="B23:D23"/>
    <mergeCell ref="B45:F45"/>
    <mergeCell ref="B46:F46"/>
    <mergeCell ref="C9:F9"/>
    <mergeCell ref="C10:F10"/>
    <mergeCell ref="H11:I11"/>
    <mergeCell ref="B25:D25"/>
    <mergeCell ref="E27:F27"/>
    <mergeCell ref="E28:F28"/>
    <mergeCell ref="E29:F29"/>
    <mergeCell ref="E30:F30"/>
    <mergeCell ref="E31:F31"/>
    <mergeCell ref="E17:F17"/>
    <mergeCell ref="E18:F18"/>
    <mergeCell ref="E19:F19"/>
    <mergeCell ref="E20:F20"/>
    <mergeCell ref="E26:F26"/>
  </mergeCells>
  <pageMargins left="0.7" right="0.7" top="0.75" bottom="0.75" header="0.3" footer="0.3"/>
  <pageSetup paperSize="9" scale="78" orientation="portrait" horizontalDpi="4294967293" r:id="rId1"/>
  <headerFooter>
    <oddFooter>&amp;L&amp;G B.E.S. Ltd&amp;C&amp;P of &amp;N&amp;R&amp;A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H15"/>
  <sheetViews>
    <sheetView workbookViewId="0">
      <selection activeCell="H2" sqref="H2:H4"/>
    </sheetView>
  </sheetViews>
  <sheetFormatPr defaultRowHeight="15"/>
  <cols>
    <col min="1" max="1" width="10.140625" bestFit="1" customWidth="1"/>
    <col min="3" max="3" width="10.140625" bestFit="1" customWidth="1"/>
    <col min="4" max="4" width="16.85546875" bestFit="1" customWidth="1"/>
    <col min="5" max="5" width="9.140625" style="152"/>
  </cols>
  <sheetData>
    <row r="1" spans="1:8" s="88" customFormat="1">
      <c r="A1" s="88" t="s">
        <v>5</v>
      </c>
      <c r="C1" s="88" t="s">
        <v>5</v>
      </c>
      <c r="D1" s="88" t="s">
        <v>481</v>
      </c>
      <c r="E1" s="291" t="s">
        <v>294</v>
      </c>
    </row>
    <row r="2" spans="1:8">
      <c r="A2" t="s">
        <v>403</v>
      </c>
      <c r="C2" t="s">
        <v>403</v>
      </c>
      <c r="D2" t="s">
        <v>588</v>
      </c>
      <c r="E2" s="152">
        <v>6.5</v>
      </c>
      <c r="H2" t="s">
        <v>431</v>
      </c>
    </row>
    <row r="3" spans="1:8">
      <c r="A3" t="s">
        <v>401</v>
      </c>
      <c r="D3" t="s">
        <v>589</v>
      </c>
      <c r="E3" s="152">
        <v>7.5</v>
      </c>
      <c r="H3" t="s">
        <v>830</v>
      </c>
    </row>
    <row r="4" spans="1:8">
      <c r="A4" t="s">
        <v>586</v>
      </c>
      <c r="D4" t="s">
        <v>590</v>
      </c>
      <c r="E4" s="152">
        <v>12.5</v>
      </c>
      <c r="H4" t="s">
        <v>831</v>
      </c>
    </row>
    <row r="5" spans="1:8">
      <c r="A5" t="s">
        <v>587</v>
      </c>
      <c r="D5" t="s">
        <v>591</v>
      </c>
      <c r="E5" s="152">
        <v>15</v>
      </c>
    </row>
    <row r="6" spans="1:8">
      <c r="C6" t="s">
        <v>401</v>
      </c>
      <c r="D6" t="s">
        <v>592</v>
      </c>
      <c r="E6" s="152">
        <v>6.5</v>
      </c>
    </row>
    <row r="7" spans="1:8">
      <c r="D7" t="s">
        <v>593</v>
      </c>
      <c r="E7" s="152">
        <v>8</v>
      </c>
    </row>
    <row r="8" spans="1:8">
      <c r="C8" t="s">
        <v>586</v>
      </c>
      <c r="D8" t="s">
        <v>594</v>
      </c>
      <c r="E8" s="152">
        <v>5</v>
      </c>
    </row>
    <row r="9" spans="1:8">
      <c r="D9" t="s">
        <v>595</v>
      </c>
      <c r="E9" s="152">
        <v>6</v>
      </c>
    </row>
    <row r="10" spans="1:8">
      <c r="D10" t="s">
        <v>596</v>
      </c>
      <c r="E10" s="152">
        <v>12.5</v>
      </c>
    </row>
    <row r="11" spans="1:8">
      <c r="D11" t="s">
        <v>597</v>
      </c>
      <c r="E11" s="152">
        <v>14</v>
      </c>
    </row>
    <row r="12" spans="1:8">
      <c r="C12" t="s">
        <v>587</v>
      </c>
      <c r="D12" t="s">
        <v>598</v>
      </c>
      <c r="E12" s="152">
        <v>5</v>
      </c>
    </row>
    <row r="13" spans="1:8">
      <c r="D13" t="s">
        <v>599</v>
      </c>
      <c r="E13" s="152">
        <v>5.5</v>
      </c>
    </row>
    <row r="14" spans="1:8">
      <c r="D14" t="s">
        <v>600</v>
      </c>
      <c r="E14" s="152">
        <v>6</v>
      </c>
    </row>
    <row r="15" spans="1:8">
      <c r="D15" t="s">
        <v>601</v>
      </c>
      <c r="E15" s="152">
        <v>6.5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2:G81"/>
  <sheetViews>
    <sheetView topLeftCell="A13" workbookViewId="0">
      <selection activeCell="G30" sqref="G30"/>
    </sheetView>
  </sheetViews>
  <sheetFormatPr defaultRowHeight="15"/>
  <cols>
    <col min="6" max="6" width="16.85546875" bestFit="1" customWidth="1"/>
    <col min="7" max="7" width="9.140625" style="152"/>
  </cols>
  <sheetData>
    <row r="2" spans="1:7">
      <c r="A2" t="s">
        <v>609</v>
      </c>
      <c r="C2" t="s">
        <v>609</v>
      </c>
      <c r="D2" t="s">
        <v>630</v>
      </c>
      <c r="E2" t="s">
        <v>611</v>
      </c>
      <c r="F2" t="s">
        <v>612</v>
      </c>
      <c r="G2" s="152">
        <v>56</v>
      </c>
    </row>
    <row r="3" spans="1:7">
      <c r="A3" t="s">
        <v>610</v>
      </c>
      <c r="D3" t="s">
        <v>631</v>
      </c>
      <c r="F3" t="s">
        <v>628</v>
      </c>
      <c r="G3" s="152">
        <v>57</v>
      </c>
    </row>
    <row r="4" spans="1:7">
      <c r="D4" t="s">
        <v>632</v>
      </c>
      <c r="F4" t="s">
        <v>613</v>
      </c>
      <c r="G4" s="152">
        <v>67.5</v>
      </c>
    </row>
    <row r="5" spans="1:7">
      <c r="D5" t="s">
        <v>634</v>
      </c>
      <c r="F5" t="s">
        <v>614</v>
      </c>
      <c r="G5" s="152">
        <v>78.5</v>
      </c>
    </row>
    <row r="6" spans="1:7">
      <c r="F6" t="s">
        <v>615</v>
      </c>
      <c r="G6" s="152">
        <v>89</v>
      </c>
    </row>
    <row r="7" spans="1:7">
      <c r="F7" t="s">
        <v>616</v>
      </c>
      <c r="G7" s="152">
        <v>105</v>
      </c>
    </row>
    <row r="8" spans="1:7">
      <c r="F8" t="s">
        <v>617</v>
      </c>
      <c r="G8" s="152">
        <v>117</v>
      </c>
    </row>
    <row r="9" spans="1:7">
      <c r="F9" t="s">
        <v>618</v>
      </c>
      <c r="G9" s="152">
        <v>132</v>
      </c>
    </row>
    <row r="10" spans="1:7">
      <c r="F10" t="s">
        <v>619</v>
      </c>
      <c r="G10" s="152">
        <v>144</v>
      </c>
    </row>
    <row r="11" spans="1:7">
      <c r="F11" t="s">
        <v>620</v>
      </c>
      <c r="G11" s="152">
        <v>157</v>
      </c>
    </row>
    <row r="12" spans="1:7">
      <c r="F12" t="s">
        <v>621</v>
      </c>
      <c r="G12" s="152">
        <v>168</v>
      </c>
    </row>
    <row r="13" spans="1:7">
      <c r="F13" t="s">
        <v>622</v>
      </c>
      <c r="G13" s="152">
        <v>202</v>
      </c>
    </row>
    <row r="14" spans="1:7">
      <c r="F14" t="s">
        <v>624</v>
      </c>
      <c r="G14" s="152">
        <v>216</v>
      </c>
    </row>
    <row r="15" spans="1:7">
      <c r="F15" t="s">
        <v>623</v>
      </c>
      <c r="G15" s="152">
        <v>249</v>
      </c>
    </row>
    <row r="16" spans="1:7">
      <c r="F16" t="s">
        <v>625</v>
      </c>
      <c r="G16" s="152">
        <v>262</v>
      </c>
    </row>
    <row r="17" spans="5:7">
      <c r="F17" t="s">
        <v>626</v>
      </c>
      <c r="G17" s="152">
        <v>325</v>
      </c>
    </row>
    <row r="18" spans="5:7">
      <c r="F18" t="s">
        <v>627</v>
      </c>
      <c r="G18" s="152">
        <v>353</v>
      </c>
    </row>
    <row r="19" spans="5:7">
      <c r="E19" t="s">
        <v>464</v>
      </c>
      <c r="F19" t="s">
        <v>243</v>
      </c>
      <c r="G19" s="152">
        <v>61</v>
      </c>
    </row>
    <row r="20" spans="5:7">
      <c r="F20" t="s">
        <v>629</v>
      </c>
      <c r="G20" s="152">
        <v>61</v>
      </c>
    </row>
    <row r="21" spans="5:7">
      <c r="F21" t="s">
        <v>244</v>
      </c>
      <c r="G21" s="152">
        <v>72</v>
      </c>
    </row>
    <row r="22" spans="5:7">
      <c r="F22" t="s">
        <v>245</v>
      </c>
      <c r="G22" s="152">
        <v>84</v>
      </c>
    </row>
    <row r="23" spans="5:7">
      <c r="F23" t="s">
        <v>246</v>
      </c>
      <c r="G23" s="152">
        <v>94</v>
      </c>
    </row>
    <row r="24" spans="5:7">
      <c r="F24" t="s">
        <v>247</v>
      </c>
      <c r="G24" s="152">
        <v>109</v>
      </c>
    </row>
    <row r="25" spans="5:7">
      <c r="F25" t="s">
        <v>248</v>
      </c>
      <c r="G25" s="152">
        <v>117</v>
      </c>
    </row>
    <row r="26" spans="5:7">
      <c r="F26" t="s">
        <v>249</v>
      </c>
      <c r="G26" s="152">
        <v>132</v>
      </c>
    </row>
    <row r="27" spans="5:7">
      <c r="F27" t="s">
        <v>250</v>
      </c>
      <c r="G27" s="152">
        <v>144</v>
      </c>
    </row>
    <row r="28" spans="5:7">
      <c r="F28" t="s">
        <v>251</v>
      </c>
      <c r="G28" s="152">
        <v>165</v>
      </c>
    </row>
    <row r="29" spans="5:7">
      <c r="F29" t="s">
        <v>252</v>
      </c>
      <c r="G29" s="152">
        <v>174</v>
      </c>
    </row>
    <row r="30" spans="5:7">
      <c r="F30" t="s">
        <v>253</v>
      </c>
      <c r="G30" s="152">
        <v>206</v>
      </c>
    </row>
    <row r="31" spans="5:7">
      <c r="F31" t="s">
        <v>254</v>
      </c>
      <c r="G31" s="152">
        <v>220</v>
      </c>
    </row>
    <row r="32" spans="5:7">
      <c r="F32" t="s">
        <v>255</v>
      </c>
      <c r="G32" s="152">
        <v>244</v>
      </c>
    </row>
    <row r="33" spans="5:7">
      <c r="F33" t="s">
        <v>256</v>
      </c>
      <c r="G33" s="152">
        <v>260</v>
      </c>
    </row>
    <row r="34" spans="5:7">
      <c r="F34" t="s">
        <v>257</v>
      </c>
      <c r="G34" s="152">
        <v>300</v>
      </c>
    </row>
    <row r="35" spans="5:7">
      <c r="F35" t="s">
        <v>258</v>
      </c>
      <c r="G35" s="152">
        <v>325</v>
      </c>
    </row>
    <row r="36" spans="5:7">
      <c r="F36" t="s">
        <v>898</v>
      </c>
      <c r="G36" s="152">
        <v>405</v>
      </c>
    </row>
    <row r="37" spans="5:7">
      <c r="F37" t="s">
        <v>899</v>
      </c>
      <c r="G37" s="152">
        <v>405</v>
      </c>
    </row>
    <row r="38" spans="5:7">
      <c r="F38" t="s">
        <v>900</v>
      </c>
      <c r="G38" s="152">
        <v>453</v>
      </c>
    </row>
    <row r="39" spans="5:7">
      <c r="F39" t="s">
        <v>901</v>
      </c>
      <c r="G39" s="152">
        <v>453</v>
      </c>
    </row>
    <row r="40" spans="5:7">
      <c r="F40" t="s">
        <v>902</v>
      </c>
      <c r="G40" s="152">
        <v>561</v>
      </c>
    </row>
    <row r="41" spans="5:7">
      <c r="F41" t="s">
        <v>903</v>
      </c>
      <c r="G41" s="152">
        <v>561</v>
      </c>
    </row>
    <row r="42" spans="5:7">
      <c r="F42" t="s">
        <v>904</v>
      </c>
      <c r="G42" s="152">
        <v>596</v>
      </c>
    </row>
    <row r="43" spans="5:7">
      <c r="F43" t="s">
        <v>905</v>
      </c>
      <c r="G43" s="152">
        <v>596</v>
      </c>
    </row>
    <row r="44" spans="5:7">
      <c r="F44" t="s">
        <v>906</v>
      </c>
      <c r="G44" s="152">
        <v>691</v>
      </c>
    </row>
    <row r="45" spans="5:7">
      <c r="F45" t="s">
        <v>907</v>
      </c>
      <c r="G45" s="152">
        <v>691</v>
      </c>
    </row>
    <row r="46" spans="5:7">
      <c r="F46" t="s">
        <v>908</v>
      </c>
      <c r="G46" s="152">
        <v>728</v>
      </c>
    </row>
    <row r="47" spans="5:7">
      <c r="F47" t="s">
        <v>909</v>
      </c>
      <c r="G47" s="152">
        <v>728</v>
      </c>
    </row>
    <row r="48" spans="5:7">
      <c r="E48" t="s">
        <v>633</v>
      </c>
      <c r="F48" t="s">
        <v>635</v>
      </c>
      <c r="G48" s="152">
        <v>44</v>
      </c>
    </row>
    <row r="49" spans="6:7">
      <c r="F49" t="s">
        <v>636</v>
      </c>
      <c r="G49" s="152">
        <v>44</v>
      </c>
    </row>
    <row r="50" spans="6:7">
      <c r="F50" t="s">
        <v>637</v>
      </c>
      <c r="G50" s="152">
        <v>51</v>
      </c>
    </row>
    <row r="51" spans="6:7">
      <c r="F51" t="s">
        <v>638</v>
      </c>
      <c r="G51" s="152">
        <v>60</v>
      </c>
    </row>
    <row r="52" spans="6:7">
      <c r="F52" t="s">
        <v>639</v>
      </c>
      <c r="G52" s="152">
        <v>69</v>
      </c>
    </row>
    <row r="53" spans="6:7">
      <c r="F53" t="s">
        <v>640</v>
      </c>
      <c r="G53" s="152">
        <v>77</v>
      </c>
    </row>
    <row r="54" spans="6:7">
      <c r="F54" t="s">
        <v>641</v>
      </c>
      <c r="G54" s="152">
        <v>89</v>
      </c>
    </row>
    <row r="55" spans="6:7">
      <c r="F55" t="s">
        <v>642</v>
      </c>
      <c r="G55" s="152">
        <v>99</v>
      </c>
    </row>
    <row r="56" spans="6:7">
      <c r="F56" t="s">
        <v>643</v>
      </c>
      <c r="G56" s="152">
        <v>108</v>
      </c>
    </row>
    <row r="57" spans="6:7">
      <c r="F57" t="s">
        <v>644</v>
      </c>
      <c r="G57" s="152">
        <v>118</v>
      </c>
    </row>
    <row r="58" spans="6:7">
      <c r="F58" t="s">
        <v>645</v>
      </c>
      <c r="G58" s="152">
        <v>127</v>
      </c>
    </row>
    <row r="59" spans="6:7">
      <c r="F59" t="s">
        <v>646</v>
      </c>
      <c r="G59" s="152">
        <v>142</v>
      </c>
    </row>
    <row r="60" spans="6:7">
      <c r="F60" t="s">
        <v>647</v>
      </c>
      <c r="G60" s="152">
        <v>151</v>
      </c>
    </row>
    <row r="61" spans="6:7">
      <c r="F61" t="s">
        <v>648</v>
      </c>
      <c r="G61" s="152">
        <v>161</v>
      </c>
    </row>
    <row r="62" spans="6:7">
      <c r="F62" t="s">
        <v>649</v>
      </c>
      <c r="G62" s="152">
        <v>170</v>
      </c>
    </row>
    <row r="63" spans="6:7">
      <c r="F63" t="s">
        <v>650</v>
      </c>
      <c r="G63" s="152">
        <v>262</v>
      </c>
    </row>
    <row r="64" spans="6:7">
      <c r="F64" t="s">
        <v>651</v>
      </c>
      <c r="G64" s="152">
        <v>276</v>
      </c>
    </row>
    <row r="65" spans="5:7">
      <c r="E65" t="s">
        <v>652</v>
      </c>
      <c r="F65" t="s">
        <v>653</v>
      </c>
      <c r="G65" s="152">
        <v>66</v>
      </c>
    </row>
    <row r="66" spans="5:7">
      <c r="F66" t="s">
        <v>654</v>
      </c>
      <c r="G66" s="152">
        <v>66</v>
      </c>
    </row>
    <row r="67" spans="5:7">
      <c r="F67" t="s">
        <v>655</v>
      </c>
      <c r="G67" s="152">
        <v>80</v>
      </c>
    </row>
    <row r="68" spans="5:7">
      <c r="F68" t="s">
        <v>656</v>
      </c>
      <c r="G68" s="152">
        <v>92</v>
      </c>
    </row>
    <row r="69" spans="5:7">
      <c r="F69" t="s">
        <v>657</v>
      </c>
      <c r="G69" s="152">
        <v>104</v>
      </c>
    </row>
    <row r="70" spans="5:7">
      <c r="F70" t="s">
        <v>658</v>
      </c>
      <c r="G70" s="152">
        <v>118</v>
      </c>
    </row>
    <row r="71" spans="5:7">
      <c r="F71" t="s">
        <v>659</v>
      </c>
      <c r="G71" s="152">
        <v>132</v>
      </c>
    </row>
    <row r="72" spans="5:7">
      <c r="F72" t="s">
        <v>660</v>
      </c>
      <c r="G72" s="152">
        <v>161</v>
      </c>
    </row>
    <row r="73" spans="5:7">
      <c r="F73" t="s">
        <v>661</v>
      </c>
      <c r="G73" s="152">
        <v>174</v>
      </c>
    </row>
    <row r="74" spans="5:7">
      <c r="F74" t="s">
        <v>662</v>
      </c>
      <c r="G74" s="152">
        <v>192</v>
      </c>
    </row>
    <row r="75" spans="5:7">
      <c r="F75" t="s">
        <v>663</v>
      </c>
      <c r="G75" s="152">
        <v>207</v>
      </c>
    </row>
    <row r="76" spans="5:7">
      <c r="F76" t="s">
        <v>664</v>
      </c>
      <c r="G76" s="152">
        <v>236</v>
      </c>
    </row>
    <row r="77" spans="5:7">
      <c r="F77" t="s">
        <v>665</v>
      </c>
      <c r="G77" s="152">
        <v>248</v>
      </c>
    </row>
    <row r="78" spans="5:7">
      <c r="F78" t="s">
        <v>666</v>
      </c>
      <c r="G78" s="152">
        <v>262</v>
      </c>
    </row>
    <row r="79" spans="5:7">
      <c r="F79" t="s">
        <v>667</v>
      </c>
      <c r="G79" s="152">
        <v>278</v>
      </c>
    </row>
    <row r="80" spans="5:7">
      <c r="F80" t="s">
        <v>668</v>
      </c>
      <c r="G80" s="152">
        <v>394</v>
      </c>
    </row>
    <row r="81" spans="6:7">
      <c r="F81" t="s">
        <v>669</v>
      </c>
      <c r="G81" s="152">
        <v>418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4"/>
  <sheetViews>
    <sheetView workbookViewId="0">
      <selection activeCell="C2" sqref="C2:D24"/>
    </sheetView>
  </sheetViews>
  <sheetFormatPr defaultRowHeight="15"/>
  <cols>
    <col min="1" max="1" width="17.85546875" bestFit="1" customWidth="1"/>
    <col min="2" max="2" width="12.5703125" bestFit="1" customWidth="1"/>
    <col min="3" max="3" width="21.140625" bestFit="1" customWidth="1"/>
    <col min="4" max="4" width="9.140625" style="152"/>
  </cols>
  <sheetData>
    <row r="2" spans="1:4">
      <c r="A2" t="s">
        <v>855</v>
      </c>
      <c r="B2" t="s">
        <v>855</v>
      </c>
      <c r="C2" t="s">
        <v>832</v>
      </c>
      <c r="D2" s="152">
        <v>6.5</v>
      </c>
    </row>
    <row r="3" spans="1:4">
      <c r="A3" t="s">
        <v>860</v>
      </c>
      <c r="C3" t="s">
        <v>833</v>
      </c>
      <c r="D3" s="152">
        <v>3.5</v>
      </c>
    </row>
    <row r="4" spans="1:4">
      <c r="A4" t="s">
        <v>861</v>
      </c>
      <c r="C4" t="s">
        <v>834</v>
      </c>
      <c r="D4" s="152">
        <v>6.5</v>
      </c>
    </row>
    <row r="5" spans="1:4">
      <c r="C5" t="s">
        <v>835</v>
      </c>
      <c r="D5" s="152">
        <v>3.5</v>
      </c>
    </row>
    <row r="6" spans="1:4">
      <c r="C6" t="s">
        <v>845</v>
      </c>
      <c r="D6" s="152">
        <v>6.5</v>
      </c>
    </row>
    <row r="7" spans="1:4">
      <c r="C7" t="s">
        <v>836</v>
      </c>
      <c r="D7" s="152">
        <v>4.5</v>
      </c>
    </row>
    <row r="8" spans="1:4">
      <c r="C8" t="s">
        <v>837</v>
      </c>
      <c r="D8" s="152">
        <v>6.5</v>
      </c>
    </row>
    <row r="9" spans="1:4">
      <c r="B9" t="s">
        <v>856</v>
      </c>
      <c r="C9" t="s">
        <v>838</v>
      </c>
      <c r="D9" s="152">
        <v>38.5</v>
      </c>
    </row>
    <row r="10" spans="1:4">
      <c r="C10" t="s">
        <v>839</v>
      </c>
      <c r="D10" s="152">
        <v>19.5</v>
      </c>
    </row>
    <row r="11" spans="1:4">
      <c r="C11" t="s">
        <v>840</v>
      </c>
      <c r="D11" s="152">
        <v>30.5</v>
      </c>
    </row>
    <row r="12" spans="1:4">
      <c r="C12" t="s">
        <v>841</v>
      </c>
      <c r="D12" s="152">
        <v>31.5</v>
      </c>
    </row>
    <row r="13" spans="1:4">
      <c r="C13" t="s">
        <v>842</v>
      </c>
      <c r="D13" s="152">
        <v>17.5</v>
      </c>
    </row>
    <row r="14" spans="1:4">
      <c r="C14" t="s">
        <v>843</v>
      </c>
      <c r="D14" s="152">
        <v>20.5</v>
      </c>
    </row>
    <row r="15" spans="1:4">
      <c r="C15" t="s">
        <v>853</v>
      </c>
      <c r="D15" s="152">
        <v>51.5</v>
      </c>
    </row>
    <row r="16" spans="1:4">
      <c r="C16" t="s">
        <v>844</v>
      </c>
      <c r="D16" s="152">
        <v>30.5</v>
      </c>
    </row>
    <row r="17" spans="2:4">
      <c r="B17" t="s">
        <v>857</v>
      </c>
      <c r="C17" t="s">
        <v>846</v>
      </c>
      <c r="D17" s="152">
        <v>44.5</v>
      </c>
    </row>
    <row r="18" spans="2:4">
      <c r="C18" t="s">
        <v>847</v>
      </c>
      <c r="D18" s="152">
        <v>6.5</v>
      </c>
    </row>
    <row r="19" spans="2:4">
      <c r="C19" t="s">
        <v>848</v>
      </c>
      <c r="D19" s="152">
        <v>19.5</v>
      </c>
    </row>
    <row r="20" spans="2:4">
      <c r="C20" t="s">
        <v>849</v>
      </c>
      <c r="D20" s="152">
        <v>19.5</v>
      </c>
    </row>
    <row r="21" spans="2:4">
      <c r="C21" t="s">
        <v>850</v>
      </c>
      <c r="D21" s="152">
        <v>49.5</v>
      </c>
    </row>
    <row r="22" spans="2:4">
      <c r="C22" t="s">
        <v>851</v>
      </c>
      <c r="D22" s="152">
        <v>38.5</v>
      </c>
    </row>
    <row r="23" spans="2:4">
      <c r="C23" t="s">
        <v>854</v>
      </c>
      <c r="D23" s="152">
        <v>41.5</v>
      </c>
    </row>
    <row r="24" spans="2:4">
      <c r="C24" t="s">
        <v>852</v>
      </c>
      <c r="D24" s="152">
        <v>86.5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O123"/>
  <sheetViews>
    <sheetView view="pageLayout" topLeftCell="B71" workbookViewId="0">
      <selection activeCell="H71" sqref="H71"/>
    </sheetView>
  </sheetViews>
  <sheetFormatPr defaultRowHeight="15"/>
  <cols>
    <col min="1" max="1" width="15.28515625" customWidth="1"/>
    <col min="2" max="2" width="25.5703125" bestFit="1" customWidth="1"/>
    <col min="3" max="3" width="15" bestFit="1" customWidth="1"/>
    <col min="4" max="4" width="12.85546875" customWidth="1"/>
    <col min="5" max="5" width="20.5703125" bestFit="1" customWidth="1"/>
    <col min="6" max="6" width="10" style="152" bestFit="1" customWidth="1"/>
    <col min="7" max="7" width="5.5703125" style="263" bestFit="1" customWidth="1"/>
    <col min="8" max="8" width="8.140625" style="265" bestFit="1" customWidth="1"/>
    <col min="9" max="9" width="9.140625" style="152" bestFit="1" customWidth="1"/>
    <col min="10" max="10" width="5.5703125" bestFit="1" customWidth="1"/>
    <col min="11" max="11" width="5" style="267" customWidth="1"/>
    <col min="12" max="12" width="10.42578125" customWidth="1"/>
    <col min="13" max="14" width="4.7109375" customWidth="1"/>
    <col min="15" max="15" width="11" style="152" customWidth="1"/>
  </cols>
  <sheetData>
    <row r="1" spans="1:15" ht="21">
      <c r="A1" s="262" t="s">
        <v>360</v>
      </c>
      <c r="B1" s="262"/>
      <c r="C1" s="262"/>
      <c r="D1" s="262"/>
      <c r="E1" s="262"/>
      <c r="F1" s="269"/>
      <c r="G1" s="273"/>
      <c r="H1" s="264"/>
      <c r="I1" s="272"/>
      <c r="J1" s="262"/>
      <c r="K1" s="266"/>
      <c r="L1" s="262"/>
      <c r="M1" s="262"/>
      <c r="O1" s="269"/>
    </row>
    <row r="3" spans="1:15" s="280" customFormat="1" ht="16.5" customHeight="1">
      <c r="A3" s="274" t="s">
        <v>361</v>
      </c>
      <c r="B3" s="274" t="s">
        <v>389</v>
      </c>
      <c r="C3" s="274" t="s">
        <v>5</v>
      </c>
      <c r="D3" s="403" t="s">
        <v>368</v>
      </c>
      <c r="E3" s="404"/>
      <c r="F3" s="275" t="s">
        <v>473</v>
      </c>
      <c r="G3" s="274" t="s">
        <v>7</v>
      </c>
      <c r="H3" s="276" t="s">
        <v>472</v>
      </c>
      <c r="I3" s="277" t="s">
        <v>294</v>
      </c>
      <c r="J3" s="274" t="s">
        <v>7</v>
      </c>
      <c r="K3" s="278"/>
      <c r="L3" s="279" t="s">
        <v>483</v>
      </c>
      <c r="M3" s="274" t="s">
        <v>7</v>
      </c>
      <c r="O3" s="275" t="s">
        <v>474</v>
      </c>
    </row>
    <row r="4" spans="1:15" ht="15" customHeight="1"/>
    <row r="5" spans="1:15" ht="15" customHeight="1">
      <c r="A5" s="125" t="s">
        <v>362</v>
      </c>
      <c r="B5" s="125" t="s">
        <v>393</v>
      </c>
      <c r="C5" s="356" t="s">
        <v>363</v>
      </c>
      <c r="D5" s="397" t="s">
        <v>394</v>
      </c>
      <c r="E5" s="398"/>
      <c r="F5" s="357">
        <f>VLOOKUP(D5,HardcorePrice,2,0)</f>
        <v>30</v>
      </c>
      <c r="G5" s="358" t="s">
        <v>730</v>
      </c>
      <c r="H5" s="359">
        <v>0.05</v>
      </c>
      <c r="I5" s="157">
        <f>SUM(((F5*2.4)*H5)+(F5*2.4))</f>
        <v>75.599999999999994</v>
      </c>
      <c r="J5" s="50" t="s">
        <v>340</v>
      </c>
      <c r="K5" s="268"/>
      <c r="L5" s="135">
        <f ca="1">'Bel Ground Drain (Storm - Mach)'!H33+'Foul Pumping Station'!H21+'Rainwater Attenuation'!H21+'Rainwater Harvester'!H21+'External Works'!H22+'External Works'!H53+Services!H37</f>
        <v>39.746247500000003</v>
      </c>
      <c r="M5" s="125" t="s">
        <v>340</v>
      </c>
      <c r="O5" s="158">
        <f ca="1">L5*I5</f>
        <v>3004.816311</v>
      </c>
    </row>
    <row r="6" spans="1:15" ht="15" customHeight="1">
      <c r="A6" s="51"/>
      <c r="B6" s="51" t="s">
        <v>393</v>
      </c>
      <c r="C6" s="356" t="s">
        <v>499</v>
      </c>
      <c r="D6" s="397" t="s">
        <v>506</v>
      </c>
      <c r="E6" s="398"/>
      <c r="F6" s="357">
        <f>VLOOKUP(D6,GravelPrice,2,0)</f>
        <v>30</v>
      </c>
      <c r="G6" s="358" t="s">
        <v>730</v>
      </c>
      <c r="H6" s="359">
        <v>0.05</v>
      </c>
      <c r="I6" s="157">
        <f>SUM((F6*H6)+F6)</f>
        <v>31.5</v>
      </c>
      <c r="J6" s="50" t="s">
        <v>340</v>
      </c>
      <c r="K6" s="268"/>
      <c r="L6" s="13">
        <f ca="1">'Bel Ground Drain (Storm - Mach)'!H22+'Bel Ground Drain (Foul - Mach)'!H22+'External Works'!H65</f>
        <v>27.597999999999999</v>
      </c>
      <c r="M6" s="51" t="s">
        <v>340</v>
      </c>
      <c r="O6" s="270">
        <f t="shared" ref="O6:O9" ca="1" si="0">L6*I6</f>
        <v>869.33699999999999</v>
      </c>
    </row>
    <row r="7" spans="1:15" ht="15" customHeight="1">
      <c r="A7" s="51"/>
      <c r="B7" s="51" t="s">
        <v>366</v>
      </c>
      <c r="C7" s="356" t="s">
        <v>365</v>
      </c>
      <c r="D7" s="397" t="s">
        <v>504</v>
      </c>
      <c r="E7" s="398"/>
      <c r="F7" s="357">
        <f>VLOOKUP(D7,ConcretePrice,2,0)</f>
        <v>80</v>
      </c>
      <c r="G7" s="358" t="s">
        <v>340</v>
      </c>
      <c r="H7" s="359">
        <v>0.05</v>
      </c>
      <c r="I7" s="157">
        <f ca="1">IF(L7&lt;6,100,SUM((F7*H7)+F7))</f>
        <v>84</v>
      </c>
      <c r="J7" s="50" t="s">
        <v>340</v>
      </c>
      <c r="K7" s="268"/>
      <c r="L7" s="13">
        <f ca="1">'Groundwork (Machine)'!H35+'Groundwork (Machine)'!H65+'Foul Pumping Station'!H27+'Foul Pumping Station'!H39+('Brickwork to DPC'!H21*('Brickwork to DPC'!D18/1000))+Services!H43</f>
        <v>42.751717499999998</v>
      </c>
      <c r="M7" s="51" t="s">
        <v>340</v>
      </c>
      <c r="O7" s="270">
        <f t="shared" ca="1" si="0"/>
        <v>3591.1442699999998</v>
      </c>
    </row>
    <row r="8" spans="1:15" ht="15" customHeight="1">
      <c r="A8" s="51"/>
      <c r="B8" s="51" t="s">
        <v>367</v>
      </c>
      <c r="C8" s="356" t="s">
        <v>365</v>
      </c>
      <c r="D8" s="397" t="s">
        <v>500</v>
      </c>
      <c r="E8" s="398"/>
      <c r="F8" s="357">
        <f>VLOOKUP(D8,ConcretePrice,2,0)</f>
        <v>80</v>
      </c>
      <c r="G8" s="358" t="s">
        <v>340</v>
      </c>
      <c r="H8" s="359">
        <v>0.05</v>
      </c>
      <c r="I8" s="157">
        <f>IF(L8&lt;6,100,SUM((F8*H8)+F8))</f>
        <v>100</v>
      </c>
      <c r="J8" s="50" t="s">
        <v>340</v>
      </c>
      <c r="K8" s="268"/>
      <c r="L8" s="13"/>
      <c r="M8" s="51" t="s">
        <v>340</v>
      </c>
      <c r="O8" s="270">
        <f t="shared" si="0"/>
        <v>0</v>
      </c>
    </row>
    <row r="9" spans="1:15" ht="15" customHeight="1">
      <c r="A9" s="51"/>
      <c r="B9" s="51" t="s">
        <v>865</v>
      </c>
      <c r="C9" s="356" t="s">
        <v>364</v>
      </c>
      <c r="D9" s="397" t="s">
        <v>507</v>
      </c>
      <c r="E9" s="398"/>
      <c r="F9" s="357">
        <f>VLOOKUP(D9,SandPrice,2,0)</f>
        <v>30</v>
      </c>
      <c r="G9" s="358" t="s">
        <v>340</v>
      </c>
      <c r="H9" s="359">
        <v>0.05</v>
      </c>
      <c r="I9" s="157">
        <f>SUM((F9*H9)+F9)</f>
        <v>31.5</v>
      </c>
      <c r="J9" s="50" t="s">
        <v>340</v>
      </c>
      <c r="K9" s="268"/>
      <c r="L9" s="13">
        <f ca="1">'Rainwater Attenuation'!H27+'External Works'!H59+'External Works'!H28</f>
        <v>7.1285000000000007</v>
      </c>
      <c r="M9" s="51" t="s">
        <v>340</v>
      </c>
      <c r="O9" s="271">
        <f t="shared" ca="1" si="0"/>
        <v>224.54775000000004</v>
      </c>
    </row>
    <row r="10" spans="1:15" ht="15" customHeight="1">
      <c r="A10" s="125" t="s">
        <v>369</v>
      </c>
      <c r="B10" s="125" t="s">
        <v>390</v>
      </c>
      <c r="C10" s="356" t="s">
        <v>370</v>
      </c>
      <c r="D10" s="397" t="s">
        <v>461</v>
      </c>
      <c r="E10" s="398"/>
      <c r="F10" s="357">
        <v>210</v>
      </c>
      <c r="G10" s="358">
        <v>1000</v>
      </c>
      <c r="H10" s="359">
        <v>0.05</v>
      </c>
      <c r="I10" s="157">
        <f>SUM((F10*H10)+F10)</f>
        <v>220.5</v>
      </c>
      <c r="J10" s="50">
        <v>1000</v>
      </c>
      <c r="K10" s="268"/>
      <c r="L10" s="135">
        <f ca="1">'Brickwork to DPC'!H14+'Brickwork to DPC'!H47</f>
        <v>87.885000000000005</v>
      </c>
      <c r="M10" s="125" t="s">
        <v>213</v>
      </c>
      <c r="O10" s="270">
        <f ca="1">SUM(((L10*60)/1000)*I10)</f>
        <v>1162.7185500000001</v>
      </c>
    </row>
    <row r="11" spans="1:15" ht="15" customHeight="1">
      <c r="A11" s="51"/>
      <c r="B11" s="51" t="s">
        <v>462</v>
      </c>
      <c r="C11" s="356" t="s">
        <v>370</v>
      </c>
      <c r="D11" s="397" t="s">
        <v>479</v>
      </c>
      <c r="E11" s="398"/>
      <c r="F11" s="357">
        <v>350</v>
      </c>
      <c r="G11" s="358">
        <v>1000</v>
      </c>
      <c r="H11" s="359">
        <v>0.05</v>
      </c>
      <c r="I11" s="157">
        <f t="shared" ref="I11:I13" si="1">SUM((F11*H11)+F11)</f>
        <v>367.5</v>
      </c>
      <c r="J11" s="50">
        <v>1000</v>
      </c>
      <c r="K11" s="268"/>
      <c r="L11" s="13"/>
      <c r="M11" s="51" t="s">
        <v>213</v>
      </c>
      <c r="O11" s="270">
        <f>SUM(((L11*120)/1000)*I11)</f>
        <v>0</v>
      </c>
    </row>
    <row r="12" spans="1:15" ht="15" customHeight="1">
      <c r="A12" s="51"/>
      <c r="B12" s="51" t="s">
        <v>391</v>
      </c>
      <c r="C12" s="356" t="s">
        <v>371</v>
      </c>
      <c r="D12" s="397" t="s">
        <v>461</v>
      </c>
      <c r="E12" s="398"/>
      <c r="F12" s="357">
        <v>600</v>
      </c>
      <c r="G12" s="358">
        <v>1000</v>
      </c>
      <c r="H12" s="359">
        <v>7.4999999999999997E-2</v>
      </c>
      <c r="I12" s="157">
        <f t="shared" si="1"/>
        <v>645</v>
      </c>
      <c r="J12" s="50">
        <v>1000</v>
      </c>
      <c r="K12" s="268"/>
      <c r="L12" s="13">
        <f ca="1">'Brickwork to DPC'!H28+'External walls (Brickwork)'!H12+'External walls (Brickwork)'!H111+'External walls (Brickwork)'!H120</f>
        <v>232.78749999999997</v>
      </c>
      <c r="M12" s="51" t="s">
        <v>213</v>
      </c>
      <c r="O12" s="270">
        <f ca="1">SUM(((L12*60)/1000)*I12)+(L12*3)</f>
        <v>9707.2387499999986</v>
      </c>
    </row>
    <row r="13" spans="1:15" ht="15" customHeight="1">
      <c r="A13" s="51"/>
      <c r="B13" s="51" t="s">
        <v>463</v>
      </c>
      <c r="C13" s="356" t="s">
        <v>371</v>
      </c>
      <c r="D13" s="397" t="s">
        <v>479</v>
      </c>
      <c r="E13" s="398"/>
      <c r="F13" s="357">
        <v>600</v>
      </c>
      <c r="G13" s="358">
        <v>1000</v>
      </c>
      <c r="H13" s="359">
        <v>7.4999999999999997E-2</v>
      </c>
      <c r="I13" s="157">
        <f t="shared" si="1"/>
        <v>645</v>
      </c>
      <c r="J13" s="50">
        <v>1000</v>
      </c>
      <c r="K13" s="268"/>
      <c r="L13" s="13">
        <f ca="1">Services!H51</f>
        <v>1.44</v>
      </c>
      <c r="M13" s="51" t="s">
        <v>213</v>
      </c>
      <c r="O13" s="270">
        <f ca="1">SUM(((L13*120)/1000)*I13)</f>
        <v>111.45599999999999</v>
      </c>
    </row>
    <row r="14" spans="1:15" ht="15" customHeight="1">
      <c r="A14" s="125" t="s">
        <v>312</v>
      </c>
      <c r="B14" s="125" t="s">
        <v>396</v>
      </c>
      <c r="C14" s="356" t="s">
        <v>672</v>
      </c>
      <c r="D14" s="360" t="s">
        <v>674</v>
      </c>
      <c r="E14" s="361" t="s">
        <v>676</v>
      </c>
      <c r="F14" s="357">
        <f>VLOOKUP(E14,BlockPrices,2,0)</f>
        <v>12.43</v>
      </c>
      <c r="G14" s="358">
        <v>10</v>
      </c>
      <c r="H14" s="359">
        <v>0.05</v>
      </c>
      <c r="I14" s="157">
        <f>ROUNDUP(SUM((F14*H14)+F14),1)</f>
        <v>13.1</v>
      </c>
      <c r="J14" s="50" t="s">
        <v>213</v>
      </c>
      <c r="K14" s="268"/>
      <c r="L14" s="135">
        <f ca="1">'External walls (Brickwork)'!H28</f>
        <v>190.13499999999996</v>
      </c>
      <c r="M14" s="125" t="s">
        <v>213</v>
      </c>
      <c r="O14" s="158">
        <f ca="1">L14*(I14+2)</f>
        <v>2871.0384999999992</v>
      </c>
    </row>
    <row r="15" spans="1:15" ht="15" customHeight="1">
      <c r="A15" s="51"/>
      <c r="B15" s="51" t="s">
        <v>395</v>
      </c>
      <c r="C15" s="356" t="s">
        <v>673</v>
      </c>
      <c r="D15" s="360" t="s">
        <v>680</v>
      </c>
      <c r="E15" s="361" t="s">
        <v>682</v>
      </c>
      <c r="F15" s="357">
        <f>VLOOKUP(E15,BlockPrices,2,0)</f>
        <v>10</v>
      </c>
      <c r="G15" s="358">
        <v>10</v>
      </c>
      <c r="H15" s="359">
        <v>0.05</v>
      </c>
      <c r="I15" s="157">
        <f t="shared" ref="I15:I37" si="2">ROUNDUP(SUM((F15*H15)+F15),1)</f>
        <v>10.5</v>
      </c>
      <c r="J15" s="50" t="s">
        <v>213</v>
      </c>
      <c r="K15" s="268"/>
      <c r="L15" s="13">
        <f ca="1">'External walls (Brickwork)'!H45</f>
        <v>41.879999999999995</v>
      </c>
      <c r="M15" s="51" t="s">
        <v>213</v>
      </c>
      <c r="O15" s="270">
        <f t="shared" ref="O15" ca="1" si="3">L15*(I15+2)</f>
        <v>523.5</v>
      </c>
    </row>
    <row r="16" spans="1:15" ht="15" customHeight="1">
      <c r="A16" s="51"/>
      <c r="B16" s="51" t="s">
        <v>923</v>
      </c>
      <c r="C16" s="356" t="s">
        <v>673</v>
      </c>
      <c r="D16" s="360" t="s">
        <v>681</v>
      </c>
      <c r="E16" s="361" t="s">
        <v>683</v>
      </c>
      <c r="F16" s="357">
        <f>VLOOKUP(E16,BlockPrices,2,0)</f>
        <v>16</v>
      </c>
      <c r="G16" s="358">
        <v>10</v>
      </c>
      <c r="H16" s="359">
        <v>0.05</v>
      </c>
      <c r="I16" s="157">
        <f t="shared" si="2"/>
        <v>16.8</v>
      </c>
      <c r="J16" s="50" t="s">
        <v>213</v>
      </c>
      <c r="K16" s="268"/>
      <c r="L16" s="13">
        <f ca="1">'External walls (Brickwork)'!H55</f>
        <v>10.38</v>
      </c>
      <c r="M16" s="51" t="s">
        <v>213</v>
      </c>
      <c r="O16" s="271">
        <f ca="1">(L16*2)*(I16+2)</f>
        <v>390.28800000000007</v>
      </c>
    </row>
    <row r="17" spans="1:15" ht="15" customHeight="1">
      <c r="A17" s="125" t="s">
        <v>372</v>
      </c>
      <c r="B17" s="125" t="s">
        <v>375</v>
      </c>
      <c r="C17" s="356" t="s">
        <v>497</v>
      </c>
      <c r="D17" s="397" t="s">
        <v>491</v>
      </c>
      <c r="E17" s="398"/>
      <c r="F17" s="357">
        <f t="shared" ref="F17:F32" si="4">VLOOKUP(D17,SwUntreatedPrice,2,0)</f>
        <v>1.85</v>
      </c>
      <c r="G17" s="358" t="s">
        <v>39</v>
      </c>
      <c r="H17" s="359">
        <v>0.1</v>
      </c>
      <c r="I17" s="157">
        <f t="shared" si="2"/>
        <v>2.1</v>
      </c>
      <c r="J17" s="50" t="s">
        <v>39</v>
      </c>
      <c r="K17" s="268"/>
      <c r="L17" s="135"/>
      <c r="M17" s="125" t="s">
        <v>39</v>
      </c>
      <c r="O17" s="158">
        <f t="shared" ref="O17:O61" si="5">L17*I17</f>
        <v>0</v>
      </c>
    </row>
    <row r="18" spans="1:15" ht="15" customHeight="1">
      <c r="A18" s="51"/>
      <c r="B18" s="51" t="s">
        <v>374</v>
      </c>
      <c r="C18" s="356" t="s">
        <v>497</v>
      </c>
      <c r="D18" s="397" t="s">
        <v>493</v>
      </c>
      <c r="E18" s="398"/>
      <c r="F18" s="357">
        <f t="shared" si="4"/>
        <v>2.4700000000000002</v>
      </c>
      <c r="G18" s="358" t="s">
        <v>39</v>
      </c>
      <c r="H18" s="359">
        <v>2</v>
      </c>
      <c r="I18" s="157">
        <f t="shared" si="2"/>
        <v>7.5</v>
      </c>
      <c r="J18" s="50" t="s">
        <v>39</v>
      </c>
      <c r="K18" s="268"/>
      <c r="L18" s="13">
        <f ca="1">'First-floor'!H8+'First-floor'!H20+'First-floor'!H14</f>
        <v>277.60000000000002</v>
      </c>
      <c r="M18" s="51" t="s">
        <v>39</v>
      </c>
      <c r="O18" s="270">
        <f t="shared" ca="1" si="5"/>
        <v>2082</v>
      </c>
    </row>
    <row r="19" spans="1:15" ht="15" customHeight="1">
      <c r="A19" s="51"/>
      <c r="B19" s="51" t="s">
        <v>383</v>
      </c>
      <c r="C19" s="356" t="s">
        <v>497</v>
      </c>
      <c r="D19" s="397" t="s">
        <v>493</v>
      </c>
      <c r="E19" s="398"/>
      <c r="F19" s="357">
        <f t="shared" si="4"/>
        <v>2.4700000000000002</v>
      </c>
      <c r="G19" s="358" t="s">
        <v>39</v>
      </c>
      <c r="H19" s="359">
        <v>0.05</v>
      </c>
      <c r="I19" s="157">
        <f t="shared" si="2"/>
        <v>2.6</v>
      </c>
      <c r="J19" s="50" t="s">
        <v>39</v>
      </c>
      <c r="K19" s="268"/>
      <c r="L19" s="13"/>
      <c r="M19" s="51" t="s">
        <v>39</v>
      </c>
      <c r="O19" s="270">
        <f t="shared" si="5"/>
        <v>0</v>
      </c>
    </row>
    <row r="20" spans="1:15" ht="15" customHeight="1">
      <c r="A20" s="51"/>
      <c r="B20" s="51" t="s">
        <v>426</v>
      </c>
      <c r="C20" s="356" t="s">
        <v>497</v>
      </c>
      <c r="D20" s="397" t="s">
        <v>386</v>
      </c>
      <c r="E20" s="398"/>
      <c r="F20" s="357">
        <f t="shared" si="4"/>
        <v>0.65</v>
      </c>
      <c r="G20" s="358" t="s">
        <v>39</v>
      </c>
      <c r="H20" s="359">
        <v>0.1</v>
      </c>
      <c r="I20" s="157">
        <f t="shared" si="2"/>
        <v>0.79999999999999993</v>
      </c>
      <c r="J20" s="50" t="s">
        <v>39</v>
      </c>
      <c r="K20" s="268"/>
      <c r="L20" s="13"/>
      <c r="M20" s="51" t="s">
        <v>39</v>
      </c>
      <c r="O20" s="270">
        <f t="shared" si="5"/>
        <v>0</v>
      </c>
    </row>
    <row r="21" spans="1:15" ht="15" customHeight="1">
      <c r="A21" s="51"/>
      <c r="B21" s="51" t="s">
        <v>376</v>
      </c>
      <c r="C21" s="356" t="s">
        <v>497</v>
      </c>
      <c r="D21" s="397" t="s">
        <v>489</v>
      </c>
      <c r="E21" s="398"/>
      <c r="F21" s="357">
        <f t="shared" si="4"/>
        <v>1.24</v>
      </c>
      <c r="G21" s="358" t="s">
        <v>39</v>
      </c>
      <c r="H21" s="359">
        <v>0.05</v>
      </c>
      <c r="I21" s="157">
        <f t="shared" si="2"/>
        <v>1.4000000000000001</v>
      </c>
      <c r="J21" s="50" t="s">
        <v>39</v>
      </c>
      <c r="K21" s="268"/>
      <c r="L21" s="13">
        <f ca="1">'Roof Structure (Truss)'!H7</f>
        <v>32.4</v>
      </c>
      <c r="M21" s="51" t="s">
        <v>39</v>
      </c>
      <c r="O21" s="270">
        <f t="shared" ca="1" si="5"/>
        <v>45.36</v>
      </c>
    </row>
    <row r="22" spans="1:15" ht="15" customHeight="1">
      <c r="A22" s="51"/>
      <c r="B22" s="51" t="s">
        <v>377</v>
      </c>
      <c r="C22" s="356" t="s">
        <v>497</v>
      </c>
      <c r="D22" s="397" t="s">
        <v>493</v>
      </c>
      <c r="E22" s="398"/>
      <c r="F22" s="357">
        <f t="shared" si="4"/>
        <v>2.4700000000000002</v>
      </c>
      <c r="G22" s="358" t="s">
        <v>39</v>
      </c>
      <c r="H22" s="359">
        <v>0.05</v>
      </c>
      <c r="I22" s="157">
        <f t="shared" si="2"/>
        <v>2.6</v>
      </c>
      <c r="J22" s="50" t="s">
        <v>39</v>
      </c>
      <c r="K22" s="268"/>
      <c r="L22" s="13"/>
      <c r="M22" s="51" t="s">
        <v>39</v>
      </c>
      <c r="O22" s="270">
        <f t="shared" si="5"/>
        <v>0</v>
      </c>
    </row>
    <row r="23" spans="1:15" ht="15" customHeight="1">
      <c r="A23" s="51"/>
      <c r="B23" s="51" t="s">
        <v>378</v>
      </c>
      <c r="C23" s="356" t="s">
        <v>497</v>
      </c>
      <c r="D23" s="397" t="s">
        <v>494</v>
      </c>
      <c r="E23" s="398"/>
      <c r="F23" s="357">
        <f t="shared" si="4"/>
        <v>2.78</v>
      </c>
      <c r="G23" s="358" t="s">
        <v>39</v>
      </c>
      <c r="H23" s="359">
        <v>0.05</v>
      </c>
      <c r="I23" s="157">
        <f t="shared" si="2"/>
        <v>3</v>
      </c>
      <c r="J23" s="50" t="s">
        <v>39</v>
      </c>
      <c r="K23" s="268"/>
      <c r="L23" s="13"/>
      <c r="M23" s="51" t="s">
        <v>39</v>
      </c>
      <c r="O23" s="270">
        <f t="shared" si="5"/>
        <v>0</v>
      </c>
    </row>
    <row r="24" spans="1:15" ht="15" customHeight="1">
      <c r="A24" s="51"/>
      <c r="B24" s="51" t="s">
        <v>379</v>
      </c>
      <c r="C24" s="356" t="s">
        <v>497</v>
      </c>
      <c r="D24" s="397" t="s">
        <v>493</v>
      </c>
      <c r="E24" s="398"/>
      <c r="F24" s="357">
        <f t="shared" si="4"/>
        <v>2.4700000000000002</v>
      </c>
      <c r="G24" s="358" t="s">
        <v>39</v>
      </c>
      <c r="H24" s="359">
        <v>0.1</v>
      </c>
      <c r="I24" s="157">
        <f t="shared" si="2"/>
        <v>2.8000000000000003</v>
      </c>
      <c r="J24" s="50" t="s">
        <v>39</v>
      </c>
      <c r="K24" s="268"/>
      <c r="L24" s="13"/>
      <c r="M24" s="51" t="s">
        <v>39</v>
      </c>
      <c r="O24" s="270">
        <f t="shared" si="5"/>
        <v>0</v>
      </c>
    </row>
    <row r="25" spans="1:15" ht="15" customHeight="1">
      <c r="A25" s="51"/>
      <c r="B25" s="51" t="s">
        <v>380</v>
      </c>
      <c r="C25" s="356" t="s">
        <v>497</v>
      </c>
      <c r="D25" s="397" t="s">
        <v>493</v>
      </c>
      <c r="E25" s="398"/>
      <c r="F25" s="357">
        <f t="shared" si="4"/>
        <v>2.4700000000000002</v>
      </c>
      <c r="G25" s="358" t="s">
        <v>39</v>
      </c>
      <c r="H25" s="359">
        <v>0.1</v>
      </c>
      <c r="I25" s="157">
        <f t="shared" si="2"/>
        <v>2.8000000000000003</v>
      </c>
      <c r="J25" s="50" t="s">
        <v>39</v>
      </c>
      <c r="K25" s="268"/>
      <c r="L25" s="13"/>
      <c r="M25" s="51" t="s">
        <v>39</v>
      </c>
      <c r="O25" s="270">
        <f t="shared" si="5"/>
        <v>0</v>
      </c>
    </row>
    <row r="26" spans="1:15" ht="15" customHeight="1">
      <c r="A26" s="51"/>
      <c r="B26" s="51" t="s">
        <v>382</v>
      </c>
      <c r="C26" s="356" t="s">
        <v>497</v>
      </c>
      <c r="D26" s="397" t="s">
        <v>491</v>
      </c>
      <c r="E26" s="398"/>
      <c r="F26" s="357">
        <f>VLOOKUP(D26,SwUntreatedPrice,2,0)</f>
        <v>1.85</v>
      </c>
      <c r="G26" s="358" t="s">
        <v>39</v>
      </c>
      <c r="H26" s="359">
        <v>0.1</v>
      </c>
      <c r="I26" s="157">
        <f>ROUNDUP(SUM((F26*H26)+F26),1)</f>
        <v>2.1</v>
      </c>
      <c r="J26" s="50" t="s">
        <v>39</v>
      </c>
      <c r="K26" s="268"/>
      <c r="L26" s="13"/>
      <c r="M26" s="51" t="s">
        <v>39</v>
      </c>
      <c r="O26" s="270">
        <f t="shared" si="5"/>
        <v>0</v>
      </c>
    </row>
    <row r="27" spans="1:15" ht="15" customHeight="1">
      <c r="A27" s="51"/>
      <c r="B27" s="51" t="s">
        <v>778</v>
      </c>
      <c r="C27" s="356" t="s">
        <v>497</v>
      </c>
      <c r="D27" s="397" t="s">
        <v>489</v>
      </c>
      <c r="E27" s="398"/>
      <c r="F27" s="357">
        <f>VLOOKUP(D27,SwUntreatedPrice,2,0)</f>
        <v>1.24</v>
      </c>
      <c r="G27" s="358" t="s">
        <v>39</v>
      </c>
      <c r="H27" s="359">
        <v>0.5</v>
      </c>
      <c r="I27" s="157">
        <f>ROUNDUP(SUM((F27*H27)+F27),1)</f>
        <v>1.9000000000000001</v>
      </c>
      <c r="J27" s="50" t="s">
        <v>39</v>
      </c>
      <c r="K27" s="268"/>
      <c r="L27" s="13"/>
      <c r="M27" s="51" t="s">
        <v>39</v>
      </c>
      <c r="O27" s="270">
        <f t="shared" si="5"/>
        <v>0</v>
      </c>
    </row>
    <row r="28" spans="1:15" ht="15" customHeight="1">
      <c r="A28" s="51"/>
      <c r="B28" s="51" t="s">
        <v>381</v>
      </c>
      <c r="C28" s="356" t="s">
        <v>497</v>
      </c>
      <c r="D28" s="397" t="s">
        <v>490</v>
      </c>
      <c r="E28" s="398"/>
      <c r="F28" s="357">
        <f t="shared" si="4"/>
        <v>1.55</v>
      </c>
      <c r="G28" s="358" t="s">
        <v>39</v>
      </c>
      <c r="H28" s="359">
        <v>0.1</v>
      </c>
      <c r="I28" s="157">
        <f t="shared" si="2"/>
        <v>1.8</v>
      </c>
      <c r="J28" s="50" t="s">
        <v>39</v>
      </c>
      <c r="K28" s="268"/>
      <c r="L28" s="13"/>
      <c r="M28" s="51" t="s">
        <v>39</v>
      </c>
      <c r="O28" s="270">
        <f t="shared" si="5"/>
        <v>0</v>
      </c>
    </row>
    <row r="29" spans="1:15" ht="15" customHeight="1">
      <c r="A29" s="51"/>
      <c r="B29" s="51" t="s">
        <v>384</v>
      </c>
      <c r="C29" s="356" t="s">
        <v>495</v>
      </c>
      <c r="D29" s="397" t="s">
        <v>489</v>
      </c>
      <c r="E29" s="398"/>
      <c r="F29" s="357">
        <f t="shared" si="4"/>
        <v>1.24</v>
      </c>
      <c r="G29" s="358" t="s">
        <v>39</v>
      </c>
      <c r="H29" s="359">
        <v>0.5</v>
      </c>
      <c r="I29" s="157">
        <f t="shared" si="2"/>
        <v>1.9000000000000001</v>
      </c>
      <c r="J29" s="50" t="s">
        <v>39</v>
      </c>
      <c r="K29" s="268"/>
      <c r="L29" s="13">
        <f ca="1">'Carpentry (First-fix)'!H15</f>
        <v>361.8</v>
      </c>
      <c r="M29" s="51" t="s">
        <v>39</v>
      </c>
      <c r="O29" s="270">
        <f t="shared" ca="1" si="5"/>
        <v>687.42000000000007</v>
      </c>
    </row>
    <row r="30" spans="1:15" ht="15" customHeight="1">
      <c r="A30" s="51"/>
      <c r="B30" s="51" t="s">
        <v>385</v>
      </c>
      <c r="C30" s="356" t="s">
        <v>497</v>
      </c>
      <c r="D30" s="397" t="s">
        <v>386</v>
      </c>
      <c r="E30" s="398"/>
      <c r="F30" s="357">
        <f t="shared" si="4"/>
        <v>0.65</v>
      </c>
      <c r="G30" s="358" t="s">
        <v>39</v>
      </c>
      <c r="H30" s="359">
        <v>0.5</v>
      </c>
      <c r="I30" s="157">
        <f t="shared" si="2"/>
        <v>1</v>
      </c>
      <c r="J30" s="50" t="s">
        <v>39</v>
      </c>
      <c r="K30" s="268"/>
      <c r="L30" s="13">
        <f ca="1">'Carpentry (First-fix)'!H27</f>
        <v>26.5</v>
      </c>
      <c r="M30" s="51" t="s">
        <v>39</v>
      </c>
      <c r="O30" s="270">
        <f t="shared" ca="1" si="5"/>
        <v>26.5</v>
      </c>
    </row>
    <row r="31" spans="1:15" ht="15" customHeight="1">
      <c r="A31" s="51"/>
      <c r="B31" s="51" t="s">
        <v>387</v>
      </c>
      <c r="C31" s="356" t="s">
        <v>497</v>
      </c>
      <c r="D31" s="397" t="s">
        <v>489</v>
      </c>
      <c r="E31" s="398"/>
      <c r="F31" s="357">
        <f t="shared" si="4"/>
        <v>1.24</v>
      </c>
      <c r="G31" s="358" t="s">
        <v>39</v>
      </c>
      <c r="H31" s="359">
        <v>3</v>
      </c>
      <c r="I31" s="157">
        <f t="shared" si="2"/>
        <v>5</v>
      </c>
      <c r="J31" s="50" t="s">
        <v>39</v>
      </c>
      <c r="K31" s="268"/>
      <c r="L31" s="13">
        <f ca="1">'Carpentry (First-fix)'!H9+'First-floor'!H34</f>
        <v>160.15</v>
      </c>
      <c r="M31" s="51" t="s">
        <v>39</v>
      </c>
      <c r="O31" s="270">
        <f t="shared" ca="1" si="5"/>
        <v>800.75</v>
      </c>
    </row>
    <row r="32" spans="1:15" ht="15" customHeight="1">
      <c r="A32" s="51"/>
      <c r="B32" s="51" t="s">
        <v>692</v>
      </c>
      <c r="C32" s="356" t="s">
        <v>497</v>
      </c>
      <c r="D32" s="397" t="s">
        <v>489</v>
      </c>
      <c r="E32" s="398"/>
      <c r="F32" s="357">
        <f t="shared" si="4"/>
        <v>1.24</v>
      </c>
      <c r="G32" s="358" t="s">
        <v>39</v>
      </c>
      <c r="H32" s="359">
        <v>0.05</v>
      </c>
      <c r="I32" s="157">
        <f t="shared" si="2"/>
        <v>1.4000000000000001</v>
      </c>
      <c r="J32" s="50" t="s">
        <v>39</v>
      </c>
      <c r="K32" s="268"/>
      <c r="L32" s="13"/>
      <c r="M32" s="51" t="s">
        <v>39</v>
      </c>
      <c r="O32" s="270">
        <f t="shared" si="5"/>
        <v>0</v>
      </c>
    </row>
    <row r="33" spans="1:15" ht="15" customHeight="1">
      <c r="A33" s="51"/>
      <c r="B33" s="51" t="s">
        <v>757</v>
      </c>
      <c r="C33" s="356" t="s">
        <v>734</v>
      </c>
      <c r="D33" s="397" t="s">
        <v>741</v>
      </c>
      <c r="E33" s="398"/>
      <c r="F33" s="357">
        <f>VLOOKUP(D33,DataTimber!Q2:R21,2,0)</f>
        <v>8.5</v>
      </c>
      <c r="G33" s="358" t="s">
        <v>39</v>
      </c>
      <c r="H33" s="359">
        <v>0.05</v>
      </c>
      <c r="I33" s="157">
        <f t="shared" si="2"/>
        <v>9</v>
      </c>
      <c r="J33" s="50" t="s">
        <v>39</v>
      </c>
      <c r="K33" s="268"/>
      <c r="L33" s="13">
        <f ca="1">'Roof Structure (Truss)'!H42</f>
        <v>23.999999999999996</v>
      </c>
      <c r="M33" s="51" t="s">
        <v>39</v>
      </c>
      <c r="O33" s="270">
        <f t="shared" ca="1" si="5"/>
        <v>215.99999999999997</v>
      </c>
    </row>
    <row r="34" spans="1:15" ht="15" customHeight="1">
      <c r="A34" s="51"/>
      <c r="B34" s="51" t="s">
        <v>758</v>
      </c>
      <c r="C34" s="356" t="s">
        <v>734</v>
      </c>
      <c r="D34" s="397" t="s">
        <v>752</v>
      </c>
      <c r="E34" s="398"/>
      <c r="F34" s="357">
        <f>VLOOKUP(D34,DataTimber!Q3:R22,2,0)</f>
        <v>7</v>
      </c>
      <c r="G34" s="358" t="s">
        <v>39</v>
      </c>
      <c r="H34" s="359">
        <v>0.05</v>
      </c>
      <c r="I34" s="157">
        <f t="shared" si="2"/>
        <v>7.3999999999999995</v>
      </c>
      <c r="J34" s="50" t="s">
        <v>39</v>
      </c>
      <c r="K34" s="268"/>
      <c r="L34" s="13">
        <f ca="1">'Roof Structure (Truss)'!H48</f>
        <v>23.999999999999996</v>
      </c>
      <c r="M34" s="51" t="s">
        <v>39</v>
      </c>
      <c r="O34" s="270">
        <f ca="1">L34*(I34+1)</f>
        <v>201.59999999999994</v>
      </c>
    </row>
    <row r="35" spans="1:15" ht="15" customHeight="1">
      <c r="A35" s="51"/>
      <c r="B35" s="51" t="s">
        <v>427</v>
      </c>
      <c r="C35" s="356" t="s">
        <v>428</v>
      </c>
      <c r="D35" s="397" t="s">
        <v>915</v>
      </c>
      <c r="E35" s="398"/>
      <c r="F35" s="357">
        <f>VLOOKUP(C35,TrussPrices,2,0)</f>
        <v>45</v>
      </c>
      <c r="G35" s="358" t="s">
        <v>86</v>
      </c>
      <c r="H35" s="359">
        <v>0.35</v>
      </c>
      <c r="I35" s="157">
        <f t="shared" ref="I35:I36" si="6">ROUNDUP(SUM((F35*H35)+F35),1)</f>
        <v>60.800000000000004</v>
      </c>
      <c r="J35" s="50" t="s">
        <v>86</v>
      </c>
      <c r="K35" s="268"/>
      <c r="L35" s="13"/>
      <c r="M35" s="51"/>
      <c r="O35" s="270"/>
    </row>
    <row r="36" spans="1:15" ht="15" customHeight="1">
      <c r="A36" s="51"/>
      <c r="B36" s="51" t="s">
        <v>427</v>
      </c>
      <c r="C36" s="356" t="s">
        <v>428</v>
      </c>
      <c r="D36" s="397" t="s">
        <v>916</v>
      </c>
      <c r="E36" s="398"/>
      <c r="F36" s="357">
        <f>VLOOKUP(C36,TrussPrices,2,0)</f>
        <v>45</v>
      </c>
      <c r="G36" s="358" t="s">
        <v>86</v>
      </c>
      <c r="H36" s="359">
        <v>0.2</v>
      </c>
      <c r="I36" s="157">
        <f t="shared" si="6"/>
        <v>54</v>
      </c>
      <c r="J36" s="50" t="s">
        <v>86</v>
      </c>
      <c r="K36" s="268"/>
      <c r="L36" s="13"/>
      <c r="M36" s="51"/>
      <c r="O36" s="270"/>
    </row>
    <row r="37" spans="1:15" ht="15" customHeight="1">
      <c r="A37" s="51"/>
      <c r="B37" s="51" t="s">
        <v>427</v>
      </c>
      <c r="C37" s="356" t="s">
        <v>428</v>
      </c>
      <c r="D37" s="397" t="s">
        <v>917</v>
      </c>
      <c r="E37" s="398"/>
      <c r="F37" s="357">
        <f>VLOOKUP(C37,TrussPrices,2,0)</f>
        <v>45</v>
      </c>
      <c r="G37" s="358" t="s">
        <v>86</v>
      </c>
      <c r="H37" s="359">
        <v>0</v>
      </c>
      <c r="I37" s="157">
        <f t="shared" si="2"/>
        <v>45</v>
      </c>
      <c r="J37" s="50" t="s">
        <v>86</v>
      </c>
      <c r="K37" s="268"/>
      <c r="L37" s="13">
        <f>'Roof Structure (Truss)'!H24</f>
        <v>15</v>
      </c>
      <c r="M37" s="51" t="s">
        <v>86</v>
      </c>
      <c r="O37" s="270">
        <f t="shared" si="5"/>
        <v>675</v>
      </c>
    </row>
    <row r="38" spans="1:15">
      <c r="A38" s="125" t="s">
        <v>388</v>
      </c>
      <c r="B38" s="125" t="s">
        <v>397</v>
      </c>
      <c r="C38" s="356" t="s">
        <v>293</v>
      </c>
      <c r="D38" s="356" t="s">
        <v>509</v>
      </c>
      <c r="E38" s="356" t="s">
        <v>551</v>
      </c>
      <c r="F38" s="357">
        <f>VLOOKUP(E38,DataInsulation!$E$2:$F$82,2,0)</f>
        <v>20.5</v>
      </c>
      <c r="G38" s="358" t="s">
        <v>213</v>
      </c>
      <c r="H38" s="359">
        <v>0.05</v>
      </c>
      <c r="I38" s="157">
        <f>ROUNDUP(SUM((F38*H38)+F38),1)</f>
        <v>21.6</v>
      </c>
      <c r="J38" s="50" t="s">
        <v>213</v>
      </c>
      <c r="K38" s="268"/>
      <c r="L38" s="135">
        <f ca="1">'Ground floor (Beam &amp; Block)'!H22</f>
        <v>75.015000000000001</v>
      </c>
      <c r="M38" s="125" t="s">
        <v>213</v>
      </c>
      <c r="O38" s="158">
        <f t="shared" ca="1" si="5"/>
        <v>1620.3240000000001</v>
      </c>
    </row>
    <row r="39" spans="1:15">
      <c r="A39" s="51"/>
      <c r="B39" s="51" t="s">
        <v>893</v>
      </c>
      <c r="C39" s="356" t="s">
        <v>293</v>
      </c>
      <c r="D39" s="356" t="s">
        <v>295</v>
      </c>
      <c r="E39" s="356" t="s">
        <v>529</v>
      </c>
      <c r="F39" s="357">
        <f>VLOOKUP(E39,DataInsulation!$E$2:$F$82,2,0)</f>
        <v>4.5</v>
      </c>
      <c r="G39" s="358" t="s">
        <v>213</v>
      </c>
      <c r="H39" s="359">
        <v>1</v>
      </c>
      <c r="I39" s="157">
        <f>ROUNDUP(SUM((F39*H39)+F39),1)</f>
        <v>9</v>
      </c>
      <c r="J39" s="50" t="s">
        <v>213</v>
      </c>
      <c r="K39" s="268"/>
      <c r="L39" s="13">
        <f ca="1">'Ground floor (Beam &amp; Block)'!H45</f>
        <v>3.6749999999999998</v>
      </c>
      <c r="M39" s="51" t="s">
        <v>213</v>
      </c>
      <c r="O39" s="270">
        <f t="shared" ref="O39" ca="1" si="7">L39*I39</f>
        <v>33.074999999999996</v>
      </c>
    </row>
    <row r="40" spans="1:15">
      <c r="A40" s="51"/>
      <c r="B40" s="51" t="s">
        <v>398</v>
      </c>
      <c r="C40" s="356" t="s">
        <v>293</v>
      </c>
      <c r="D40" s="356" t="s">
        <v>296</v>
      </c>
      <c r="E40" s="356" t="s">
        <v>545</v>
      </c>
      <c r="F40" s="357">
        <f>VLOOKUP(E40,DataInsulation!$E$2:$F$82,2,0)</f>
        <v>12.5</v>
      </c>
      <c r="G40" s="358" t="s">
        <v>213</v>
      </c>
      <c r="H40" s="359">
        <v>0.05</v>
      </c>
      <c r="I40" s="157">
        <f t="shared" ref="I40:I56" si="8">ROUNDUP(SUM((F40*H40)+F40),1)</f>
        <v>13.2</v>
      </c>
      <c r="J40" s="50" t="s">
        <v>213</v>
      </c>
      <c r="K40" s="268"/>
      <c r="L40" s="13">
        <f ca="1">'External walls (Brickwork)'!H20</f>
        <v>190.13499999999996</v>
      </c>
      <c r="M40" s="51" t="s">
        <v>213</v>
      </c>
      <c r="O40" s="270">
        <f t="shared" ca="1" si="5"/>
        <v>2509.7819999999992</v>
      </c>
    </row>
    <row r="41" spans="1:15">
      <c r="A41" s="51"/>
      <c r="B41" s="51" t="s">
        <v>690</v>
      </c>
      <c r="C41" s="356" t="s">
        <v>293</v>
      </c>
      <c r="D41" s="356" t="s">
        <v>509</v>
      </c>
      <c r="E41" s="356" t="s">
        <v>549</v>
      </c>
      <c r="F41" s="357">
        <f>VLOOKUP(E41,DataInsulation!$E$2:$F$82,2,0)</f>
        <v>17</v>
      </c>
      <c r="G41" s="358" t="s">
        <v>213</v>
      </c>
      <c r="H41" s="359">
        <v>0.05</v>
      </c>
      <c r="I41" s="157">
        <f t="shared" si="8"/>
        <v>17.900000000000002</v>
      </c>
      <c r="J41" s="50" t="s">
        <v>213</v>
      </c>
      <c r="K41" s="268"/>
      <c r="L41" s="13"/>
      <c r="M41" s="51" t="s">
        <v>213</v>
      </c>
      <c r="O41" s="270">
        <f t="shared" si="5"/>
        <v>0</v>
      </c>
    </row>
    <row r="42" spans="1:15">
      <c r="A42" s="51"/>
      <c r="B42" s="51" t="s">
        <v>518</v>
      </c>
      <c r="C42" s="356" t="s">
        <v>293</v>
      </c>
      <c r="D42" s="356" t="s">
        <v>510</v>
      </c>
      <c r="E42" s="356" t="s">
        <v>556</v>
      </c>
      <c r="F42" s="357">
        <f>VLOOKUP(E42,DataInsulation!$E$2:$F$82,2,0)</f>
        <v>25</v>
      </c>
      <c r="G42" s="358" t="s">
        <v>213</v>
      </c>
      <c r="H42" s="359">
        <v>0.05</v>
      </c>
      <c r="I42" s="157">
        <f t="shared" si="8"/>
        <v>26.3</v>
      </c>
      <c r="J42" s="50" t="s">
        <v>213</v>
      </c>
      <c r="K42" s="268"/>
      <c r="L42" s="13"/>
      <c r="M42" s="51" t="s">
        <v>213</v>
      </c>
      <c r="O42" s="270">
        <f t="shared" si="5"/>
        <v>0</v>
      </c>
    </row>
    <row r="43" spans="1:15">
      <c r="A43" s="51"/>
      <c r="B43" s="51" t="s">
        <v>519</v>
      </c>
      <c r="C43" s="356" t="s">
        <v>516</v>
      </c>
      <c r="D43" s="356" t="s">
        <v>582</v>
      </c>
      <c r="E43" s="356" t="s">
        <v>562</v>
      </c>
      <c r="F43" s="357">
        <f>VLOOKUP(E43,DataInsulation!$E$2:$F$82,2,0)</f>
        <v>4</v>
      </c>
      <c r="G43" s="358" t="s">
        <v>213</v>
      </c>
      <c r="H43" s="359">
        <v>0.05</v>
      </c>
      <c r="I43" s="157">
        <f t="shared" si="8"/>
        <v>4.2</v>
      </c>
      <c r="J43" s="50" t="s">
        <v>213</v>
      </c>
      <c r="K43" s="268"/>
      <c r="L43" s="13">
        <f ca="1">'Plaster, Drylining &amp; Insulation'!H17</f>
        <v>76.087500000000006</v>
      </c>
      <c r="M43" s="51" t="s">
        <v>213</v>
      </c>
      <c r="O43" s="270">
        <f t="shared" ca="1" si="5"/>
        <v>319.56750000000005</v>
      </c>
    </row>
    <row r="44" spans="1:15">
      <c r="A44" s="51"/>
      <c r="B44" s="51" t="s">
        <v>585</v>
      </c>
      <c r="C44" s="356" t="s">
        <v>516</v>
      </c>
      <c r="D44" s="356" t="s">
        <v>582</v>
      </c>
      <c r="E44" s="356" t="s">
        <v>559</v>
      </c>
      <c r="F44" s="357">
        <f>VLOOKUP(E44,DataInsulation!$E$2:$F$82,2,0)</f>
        <v>2</v>
      </c>
      <c r="G44" s="358" t="s">
        <v>213</v>
      </c>
      <c r="H44" s="359">
        <v>0.05</v>
      </c>
      <c r="I44" s="157">
        <f t="shared" si="8"/>
        <v>2.1</v>
      </c>
      <c r="J44" s="50" t="s">
        <v>213</v>
      </c>
      <c r="K44" s="268"/>
      <c r="L44" s="13">
        <f ca="1">'Plaster, Drylining &amp; Insulation'!H24</f>
        <v>76.087500000000006</v>
      </c>
      <c r="M44" s="51" t="s">
        <v>213</v>
      </c>
      <c r="O44" s="270">
        <f t="shared" ca="1" si="5"/>
        <v>159.78375000000003</v>
      </c>
    </row>
    <row r="45" spans="1:15">
      <c r="A45" s="51"/>
      <c r="B45" s="51" t="s">
        <v>520</v>
      </c>
      <c r="C45" s="356" t="s">
        <v>293</v>
      </c>
      <c r="D45" s="356" t="s">
        <v>296</v>
      </c>
      <c r="E45" s="356" t="s">
        <v>545</v>
      </c>
      <c r="F45" s="357">
        <f>VLOOKUP(E45,DataInsulation!$E$2:$F$82,2,0)</f>
        <v>12.5</v>
      </c>
      <c r="G45" s="358" t="s">
        <v>213</v>
      </c>
      <c r="H45" s="359">
        <v>0.05</v>
      </c>
      <c r="I45" s="157">
        <f t="shared" si="8"/>
        <v>13.2</v>
      </c>
      <c r="J45" s="50" t="s">
        <v>213</v>
      </c>
      <c r="K45" s="268"/>
      <c r="L45" s="13"/>
      <c r="M45" s="51" t="s">
        <v>213</v>
      </c>
      <c r="O45" s="270">
        <f t="shared" si="5"/>
        <v>0</v>
      </c>
    </row>
    <row r="46" spans="1:15">
      <c r="A46" s="51"/>
      <c r="B46" s="51" t="s">
        <v>521</v>
      </c>
      <c r="C46" s="356" t="s">
        <v>293</v>
      </c>
      <c r="D46" s="356" t="s">
        <v>295</v>
      </c>
      <c r="E46" s="356" t="s">
        <v>533</v>
      </c>
      <c r="F46" s="357">
        <f>VLOOKUP(E46,DataInsulation!$E$2:$F$82,2,0)</f>
        <v>6</v>
      </c>
      <c r="G46" s="358" t="s">
        <v>213</v>
      </c>
      <c r="H46" s="359">
        <v>0.05</v>
      </c>
      <c r="I46" s="157">
        <f t="shared" si="8"/>
        <v>6.3</v>
      </c>
      <c r="J46" s="50" t="s">
        <v>213</v>
      </c>
      <c r="K46" s="268"/>
      <c r="L46" s="13"/>
      <c r="M46" s="51" t="s">
        <v>213</v>
      </c>
      <c r="O46" s="270">
        <f t="shared" si="5"/>
        <v>0</v>
      </c>
    </row>
    <row r="47" spans="1:15">
      <c r="A47" s="51"/>
      <c r="B47" s="51" t="s">
        <v>522</v>
      </c>
      <c r="C47" s="356" t="s">
        <v>516</v>
      </c>
      <c r="D47" s="356" t="s">
        <v>583</v>
      </c>
      <c r="E47" s="356" t="s">
        <v>566</v>
      </c>
      <c r="F47" s="357">
        <f>VLOOKUP(E47,DataInsulation!$E$2:$F$82,2,0)</f>
        <v>5.5</v>
      </c>
      <c r="G47" s="358" t="s">
        <v>213</v>
      </c>
      <c r="H47" s="359">
        <v>0.05</v>
      </c>
      <c r="I47" s="157">
        <f t="shared" si="8"/>
        <v>5.8</v>
      </c>
      <c r="J47" s="50" t="s">
        <v>213</v>
      </c>
      <c r="K47" s="268"/>
      <c r="L47" s="13">
        <f ca="1">'Plaster, Drylining &amp; Insulation'!H40</f>
        <v>67.012500000000003</v>
      </c>
      <c r="M47" s="51" t="s">
        <v>213</v>
      </c>
      <c r="O47" s="270">
        <f t="shared" ca="1" si="5"/>
        <v>388.67250000000001</v>
      </c>
    </row>
    <row r="48" spans="1:15">
      <c r="A48" s="51"/>
      <c r="B48" s="51" t="s">
        <v>395</v>
      </c>
      <c r="C48" s="356" t="s">
        <v>517</v>
      </c>
      <c r="D48" s="356" t="s">
        <v>571</v>
      </c>
      <c r="E48" s="356" t="s">
        <v>577</v>
      </c>
      <c r="F48" s="357">
        <f>VLOOKUP(E48,DataInsulation!$E$2:$F$82,2,0)</f>
        <v>3</v>
      </c>
      <c r="G48" s="358" t="s">
        <v>213</v>
      </c>
      <c r="H48" s="359">
        <v>0.05</v>
      </c>
      <c r="I48" s="157">
        <f t="shared" si="8"/>
        <v>3.2</v>
      </c>
      <c r="J48" s="50" t="s">
        <v>213</v>
      </c>
      <c r="K48" s="268"/>
      <c r="L48" s="13">
        <f ca="1">'Plaster, Drylining &amp; Insulation'!H59+'Plaster, Drylining &amp; Insulation'!H80</f>
        <v>75.239999999999995</v>
      </c>
      <c r="M48" s="51" t="s">
        <v>213</v>
      </c>
      <c r="O48" s="270">
        <f t="shared" ca="1" si="5"/>
        <v>240.768</v>
      </c>
    </row>
    <row r="49" spans="1:15">
      <c r="A49" s="51"/>
      <c r="B49" s="51" t="s">
        <v>871</v>
      </c>
      <c r="C49" s="356" t="s">
        <v>515</v>
      </c>
      <c r="D49" s="362" t="s">
        <v>873</v>
      </c>
      <c r="E49" s="356" t="s">
        <v>879</v>
      </c>
      <c r="F49" s="357">
        <f>VLOOKUP(E49,DataInsulation!E2:F82,2,0)</f>
        <v>16</v>
      </c>
      <c r="G49" s="358" t="s">
        <v>213</v>
      </c>
      <c r="H49" s="359">
        <v>0.05</v>
      </c>
      <c r="I49" s="157">
        <f t="shared" si="8"/>
        <v>16.8</v>
      </c>
      <c r="J49" s="50" t="s">
        <v>213</v>
      </c>
      <c r="K49" s="268"/>
      <c r="L49" s="13">
        <f ca="1">'Plaster, Drylining &amp; Insulation'!H100</f>
        <v>173.42000000000002</v>
      </c>
      <c r="M49" s="51" t="s">
        <v>340</v>
      </c>
      <c r="O49" s="270">
        <f t="shared" ref="O49" ca="1" si="9">L49*I49</f>
        <v>2913.4560000000006</v>
      </c>
    </row>
    <row r="50" spans="1:15">
      <c r="A50" s="51"/>
      <c r="B50" s="51" t="s">
        <v>813</v>
      </c>
      <c r="C50" s="356" t="s">
        <v>293</v>
      </c>
      <c r="D50" s="362" t="s">
        <v>296</v>
      </c>
      <c r="E50" s="356" t="s">
        <v>545</v>
      </c>
      <c r="F50" s="357">
        <f>VLOOKUP(E50,DataInsulation!$E$2:$F$82,2,0)</f>
        <v>12.5</v>
      </c>
      <c r="G50" s="358" t="s">
        <v>213</v>
      </c>
      <c r="H50" s="359">
        <v>0.05</v>
      </c>
      <c r="I50" s="157">
        <f t="shared" si="8"/>
        <v>13.2</v>
      </c>
      <c r="J50" s="50" t="s">
        <v>213</v>
      </c>
      <c r="K50" s="268"/>
      <c r="L50" s="13"/>
      <c r="M50" s="51" t="s">
        <v>213</v>
      </c>
      <c r="O50" s="270">
        <f t="shared" si="5"/>
        <v>0</v>
      </c>
    </row>
    <row r="51" spans="1:15">
      <c r="A51" s="51"/>
      <c r="B51" s="51" t="s">
        <v>868</v>
      </c>
      <c r="C51" s="356" t="s">
        <v>516</v>
      </c>
      <c r="D51" s="362" t="s">
        <v>582</v>
      </c>
      <c r="E51" s="363" t="s">
        <v>562</v>
      </c>
      <c r="F51" s="357">
        <f>VLOOKUP(E51,DataInsulation!$E$2:$F$82,2,0)</f>
        <v>4</v>
      </c>
      <c r="G51" s="358" t="s">
        <v>213</v>
      </c>
      <c r="H51" s="359">
        <v>0.05</v>
      </c>
      <c r="I51" s="157">
        <f t="shared" si="8"/>
        <v>4.2</v>
      </c>
      <c r="J51" s="50" t="s">
        <v>213</v>
      </c>
      <c r="K51" s="268"/>
      <c r="L51" s="13"/>
      <c r="M51" s="51" t="s">
        <v>213</v>
      </c>
      <c r="O51" s="270">
        <f t="shared" si="5"/>
        <v>0</v>
      </c>
    </row>
    <row r="52" spans="1:15">
      <c r="A52" s="51"/>
      <c r="B52" s="51" t="s">
        <v>406</v>
      </c>
      <c r="C52" s="356" t="s">
        <v>407</v>
      </c>
      <c r="D52" s="397" t="s">
        <v>608</v>
      </c>
      <c r="E52" s="398"/>
      <c r="F52" s="357">
        <f>VLOOKUP(D52,ThermabatePrices,2,0)</f>
        <v>5.5</v>
      </c>
      <c r="G52" s="358" t="s">
        <v>39</v>
      </c>
      <c r="H52" s="359">
        <v>0.05</v>
      </c>
      <c r="I52" s="157">
        <f t="shared" si="8"/>
        <v>5.8</v>
      </c>
      <c r="J52" s="50" t="s">
        <v>39</v>
      </c>
      <c r="K52" s="268"/>
      <c r="L52" s="13">
        <f ca="1">'External walls (Brickwork)'!H66</f>
        <v>77.25</v>
      </c>
      <c r="M52" s="51" t="s">
        <v>39</v>
      </c>
      <c r="O52" s="270">
        <f t="shared" ca="1" si="5"/>
        <v>448.05</v>
      </c>
    </row>
    <row r="53" spans="1:15">
      <c r="A53" s="125" t="s">
        <v>399</v>
      </c>
      <c r="B53" s="125" t="s">
        <v>400</v>
      </c>
      <c r="C53" s="356" t="s">
        <v>401</v>
      </c>
      <c r="D53" s="397" t="s">
        <v>593</v>
      </c>
      <c r="E53" s="398"/>
      <c r="F53" s="357">
        <f>VLOOKUP(D53,SheetPrices,2,0)</f>
        <v>8</v>
      </c>
      <c r="G53" s="358" t="s">
        <v>213</v>
      </c>
      <c r="H53" s="359">
        <v>0.05</v>
      </c>
      <c r="I53" s="157">
        <f t="shared" si="8"/>
        <v>8.4</v>
      </c>
      <c r="J53" s="50" t="s">
        <v>213</v>
      </c>
      <c r="K53" s="268"/>
      <c r="L53" s="135">
        <f ca="1">'First-floor'!H40</f>
        <v>67.012500000000003</v>
      </c>
      <c r="M53" s="125" t="s">
        <v>213</v>
      </c>
      <c r="O53" s="158">
        <f t="shared" ca="1" si="5"/>
        <v>562.90500000000009</v>
      </c>
    </row>
    <row r="54" spans="1:15">
      <c r="A54" s="51"/>
      <c r="B54" s="51" t="s">
        <v>691</v>
      </c>
      <c r="C54" s="356" t="s">
        <v>403</v>
      </c>
      <c r="D54" s="397" t="s">
        <v>589</v>
      </c>
      <c r="E54" s="398"/>
      <c r="F54" s="357">
        <f>VLOOKUP(D54,SheetPrices,2,0)</f>
        <v>7.5</v>
      </c>
      <c r="G54" s="358" t="s">
        <v>213</v>
      </c>
      <c r="H54" s="359">
        <v>0.05</v>
      </c>
      <c r="I54" s="157">
        <f t="shared" si="8"/>
        <v>7.8999999999999995</v>
      </c>
      <c r="J54" s="50" t="s">
        <v>213</v>
      </c>
      <c r="K54" s="268"/>
      <c r="L54" s="13"/>
      <c r="M54" s="51" t="s">
        <v>213</v>
      </c>
      <c r="O54" s="270">
        <f t="shared" si="5"/>
        <v>0</v>
      </c>
    </row>
    <row r="55" spans="1:15">
      <c r="A55" s="51"/>
      <c r="B55" s="51" t="s">
        <v>402</v>
      </c>
      <c r="C55" s="356" t="s">
        <v>403</v>
      </c>
      <c r="D55" s="397" t="s">
        <v>590</v>
      </c>
      <c r="E55" s="398"/>
      <c r="F55" s="357">
        <f>VLOOKUP(D55,SheetPrices,2,0)</f>
        <v>12.5</v>
      </c>
      <c r="G55" s="358" t="s">
        <v>213</v>
      </c>
      <c r="H55" s="359">
        <v>0.05</v>
      </c>
      <c r="I55" s="157">
        <f t="shared" si="8"/>
        <v>13.2</v>
      </c>
      <c r="J55" s="50" t="s">
        <v>213</v>
      </c>
      <c r="K55" s="268"/>
      <c r="L55" s="13"/>
      <c r="M55" s="51" t="s">
        <v>213</v>
      </c>
      <c r="O55" s="270">
        <f t="shared" si="5"/>
        <v>0</v>
      </c>
    </row>
    <row r="56" spans="1:15">
      <c r="A56" s="51"/>
      <c r="B56" s="51" t="s">
        <v>602</v>
      </c>
      <c r="C56" s="356" t="s">
        <v>587</v>
      </c>
      <c r="D56" s="397" t="s">
        <v>599</v>
      </c>
      <c r="E56" s="398"/>
      <c r="F56" s="357">
        <f>VLOOKUP(D56,SheetPrices,2,0)</f>
        <v>5.5</v>
      </c>
      <c r="G56" s="358" t="s">
        <v>213</v>
      </c>
      <c r="H56" s="359">
        <v>0.05</v>
      </c>
      <c r="I56" s="157">
        <f t="shared" si="8"/>
        <v>5.8</v>
      </c>
      <c r="J56" s="50" t="s">
        <v>213</v>
      </c>
      <c r="K56" s="268"/>
      <c r="L56" s="13"/>
      <c r="M56" s="51" t="s">
        <v>213</v>
      </c>
      <c r="O56" s="270">
        <f t="shared" si="5"/>
        <v>0</v>
      </c>
    </row>
    <row r="57" spans="1:15">
      <c r="A57" s="125" t="s">
        <v>404</v>
      </c>
      <c r="B57" s="125" t="s">
        <v>405</v>
      </c>
      <c r="C57" s="397"/>
      <c r="D57" s="402"/>
      <c r="E57" s="398"/>
      <c r="F57" s="357">
        <v>3.5</v>
      </c>
      <c r="G57" s="358" t="s">
        <v>39</v>
      </c>
      <c r="H57" s="359">
        <v>0</v>
      </c>
      <c r="I57" s="157">
        <f t="shared" ref="I57:I104" si="10">SUM((F57*H57)+F57)</f>
        <v>3.5</v>
      </c>
      <c r="J57" s="50" t="s">
        <v>39</v>
      </c>
      <c r="K57" s="268"/>
      <c r="L57" s="135"/>
      <c r="M57" s="125" t="s">
        <v>39</v>
      </c>
      <c r="O57" s="158">
        <f t="shared" si="5"/>
        <v>0</v>
      </c>
    </row>
    <row r="58" spans="1:15">
      <c r="A58" s="51"/>
      <c r="B58" s="51" t="s">
        <v>408</v>
      </c>
      <c r="C58" s="397"/>
      <c r="D58" s="402"/>
      <c r="E58" s="398"/>
      <c r="F58" s="357">
        <v>2.25</v>
      </c>
      <c r="G58" s="358" t="s">
        <v>86</v>
      </c>
      <c r="H58" s="359">
        <v>0</v>
      </c>
      <c r="I58" s="157">
        <f t="shared" si="10"/>
        <v>2.25</v>
      </c>
      <c r="J58" s="50" t="s">
        <v>86</v>
      </c>
      <c r="K58" s="268"/>
      <c r="L58" s="13">
        <f>'First-floor'!H24</f>
        <v>72</v>
      </c>
      <c r="M58" s="51" t="s">
        <v>86</v>
      </c>
      <c r="O58" s="270">
        <f t="shared" si="5"/>
        <v>162</v>
      </c>
    </row>
    <row r="59" spans="1:15">
      <c r="A59" s="51"/>
      <c r="B59" s="51" t="s">
        <v>409</v>
      </c>
      <c r="C59" s="397"/>
      <c r="D59" s="402"/>
      <c r="E59" s="398"/>
      <c r="F59" s="357">
        <v>2.25</v>
      </c>
      <c r="G59" s="358" t="s">
        <v>86</v>
      </c>
      <c r="H59" s="359">
        <v>0</v>
      </c>
      <c r="I59" s="157">
        <f t="shared" si="10"/>
        <v>2.25</v>
      </c>
      <c r="J59" s="50" t="s">
        <v>86</v>
      </c>
      <c r="K59" s="268"/>
      <c r="L59" s="13">
        <f>'Roof Structure (Truss)'!H13</f>
        <v>18</v>
      </c>
      <c r="M59" s="51" t="s">
        <v>86</v>
      </c>
      <c r="O59" s="270">
        <f t="shared" si="5"/>
        <v>40.5</v>
      </c>
    </row>
    <row r="60" spans="1:15">
      <c r="A60" s="51"/>
      <c r="B60" s="51" t="s">
        <v>689</v>
      </c>
      <c r="C60" s="399"/>
      <c r="D60" s="400"/>
      <c r="E60" s="401"/>
      <c r="F60" s="357">
        <v>1.5</v>
      </c>
      <c r="G60" s="358" t="s">
        <v>39</v>
      </c>
      <c r="H60" s="359">
        <v>0</v>
      </c>
      <c r="I60" s="157">
        <f t="shared" si="10"/>
        <v>1.5</v>
      </c>
      <c r="J60" s="50" t="s">
        <v>86</v>
      </c>
      <c r="K60" s="268"/>
      <c r="L60" s="13">
        <f ca="1">'Plaster, Drylining &amp; Insulation'!H138</f>
        <v>77.25</v>
      </c>
      <c r="M60" s="51" t="s">
        <v>86</v>
      </c>
      <c r="O60" s="270">
        <f t="shared" ca="1" si="5"/>
        <v>115.875</v>
      </c>
    </row>
    <row r="61" spans="1:15">
      <c r="A61" s="51"/>
      <c r="B61" s="51" t="s">
        <v>410</v>
      </c>
      <c r="C61" s="397"/>
      <c r="D61" s="402"/>
      <c r="E61" s="398"/>
      <c r="F61" s="357">
        <v>3.5</v>
      </c>
      <c r="G61" s="358" t="s">
        <v>86</v>
      </c>
      <c r="H61" s="359">
        <v>0</v>
      </c>
      <c r="I61" s="157">
        <f t="shared" si="10"/>
        <v>3.5</v>
      </c>
      <c r="J61" s="50" t="s">
        <v>86</v>
      </c>
      <c r="K61" s="268"/>
      <c r="L61" s="13">
        <f>'Roof Structure (Truss)'!H18+'First-floor'!H29</f>
        <v>24</v>
      </c>
      <c r="M61" s="51" t="s">
        <v>86</v>
      </c>
      <c r="O61" s="270">
        <f t="shared" si="5"/>
        <v>84</v>
      </c>
    </row>
    <row r="62" spans="1:15">
      <c r="A62" s="125" t="s">
        <v>411</v>
      </c>
      <c r="B62" s="125" t="s">
        <v>391</v>
      </c>
      <c r="C62" s="356" t="s">
        <v>609</v>
      </c>
      <c r="D62" s="356" t="s">
        <v>631</v>
      </c>
      <c r="E62" s="356" t="s">
        <v>245</v>
      </c>
      <c r="F62" s="357">
        <f t="shared" ref="F62:F67" si="11">VLOOKUP(E62,LintelPrices,2,0)</f>
        <v>84</v>
      </c>
      <c r="G62" s="358" t="s">
        <v>86</v>
      </c>
      <c r="H62" s="359">
        <v>0</v>
      </c>
      <c r="I62" s="157">
        <f t="shared" si="10"/>
        <v>84</v>
      </c>
      <c r="J62" s="50" t="s">
        <v>86</v>
      </c>
      <c r="K62" s="268"/>
      <c r="L62" s="135">
        <f>'Lintels &amp; steelwork'!H9</f>
        <v>9</v>
      </c>
      <c r="M62" s="125" t="s">
        <v>86</v>
      </c>
      <c r="O62" s="158">
        <f t="shared" ref="O62:O74" si="12">I62*L62</f>
        <v>756</v>
      </c>
    </row>
    <row r="63" spans="1:15">
      <c r="A63" s="51"/>
      <c r="B63" s="51"/>
      <c r="C63" s="356" t="s">
        <v>609</v>
      </c>
      <c r="D63" s="356" t="s">
        <v>631</v>
      </c>
      <c r="E63" s="356" t="s">
        <v>616</v>
      </c>
      <c r="F63" s="357">
        <f t="shared" si="11"/>
        <v>105</v>
      </c>
      <c r="G63" s="358" t="s">
        <v>86</v>
      </c>
      <c r="H63" s="359">
        <v>0</v>
      </c>
      <c r="I63" s="157">
        <f t="shared" si="10"/>
        <v>105</v>
      </c>
      <c r="J63" s="50" t="s">
        <v>86</v>
      </c>
      <c r="K63" s="268"/>
      <c r="L63" s="13">
        <f>'Lintels &amp; steelwork'!H13</f>
        <v>3</v>
      </c>
      <c r="M63" s="51" t="s">
        <v>86</v>
      </c>
      <c r="O63" s="270">
        <f t="shared" si="12"/>
        <v>315</v>
      </c>
    </row>
    <row r="64" spans="1:15">
      <c r="A64" s="51"/>
      <c r="B64" s="51"/>
      <c r="C64" s="356" t="s">
        <v>609</v>
      </c>
      <c r="D64" s="356" t="s">
        <v>631</v>
      </c>
      <c r="E64" s="356" t="s">
        <v>248</v>
      </c>
      <c r="F64" s="357">
        <f t="shared" si="11"/>
        <v>117</v>
      </c>
      <c r="G64" s="358" t="s">
        <v>86</v>
      </c>
      <c r="H64" s="359">
        <v>0</v>
      </c>
      <c r="I64" s="157">
        <f t="shared" si="10"/>
        <v>117</v>
      </c>
      <c r="J64" s="50" t="s">
        <v>86</v>
      </c>
      <c r="K64" s="268"/>
      <c r="L64" s="13">
        <f>'Lintels &amp; steelwork'!H17</f>
        <v>7</v>
      </c>
      <c r="M64" s="51" t="s">
        <v>86</v>
      </c>
      <c r="O64" s="270">
        <f t="shared" si="12"/>
        <v>819</v>
      </c>
    </row>
    <row r="65" spans="1:15">
      <c r="A65" s="51"/>
      <c r="B65" s="51"/>
      <c r="C65" s="356" t="s">
        <v>609</v>
      </c>
      <c r="D65" s="356" t="s">
        <v>631</v>
      </c>
      <c r="E65" s="356" t="s">
        <v>252</v>
      </c>
      <c r="F65" s="357">
        <f t="shared" si="11"/>
        <v>174</v>
      </c>
      <c r="G65" s="358" t="s">
        <v>86</v>
      </c>
      <c r="H65" s="359">
        <v>0</v>
      </c>
      <c r="I65" s="157">
        <f t="shared" si="10"/>
        <v>174</v>
      </c>
      <c r="J65" s="50" t="s">
        <v>86</v>
      </c>
      <c r="K65" s="268"/>
      <c r="L65" s="13">
        <f>'Lintels &amp; steelwork'!H21</f>
        <v>1</v>
      </c>
      <c r="M65" s="51" t="s">
        <v>86</v>
      </c>
      <c r="O65" s="270">
        <f t="shared" si="12"/>
        <v>174</v>
      </c>
    </row>
    <row r="66" spans="1:15">
      <c r="A66" s="51"/>
      <c r="B66" s="51"/>
      <c r="C66" s="356" t="s">
        <v>609</v>
      </c>
      <c r="D66" s="356" t="s">
        <v>631</v>
      </c>
      <c r="E66" s="356" t="s">
        <v>899</v>
      </c>
      <c r="F66" s="357">
        <f t="shared" si="11"/>
        <v>405</v>
      </c>
      <c r="G66" s="358" t="s">
        <v>86</v>
      </c>
      <c r="H66" s="359">
        <v>0</v>
      </c>
      <c r="I66" s="157">
        <f t="shared" si="10"/>
        <v>405</v>
      </c>
      <c r="J66" s="50" t="s">
        <v>86</v>
      </c>
      <c r="K66" s="268"/>
      <c r="L66" s="13">
        <f>'Lintels &amp; steelwork'!H25</f>
        <v>1</v>
      </c>
      <c r="M66" s="51" t="s">
        <v>86</v>
      </c>
      <c r="O66" s="270">
        <f t="shared" si="12"/>
        <v>405</v>
      </c>
    </row>
    <row r="67" spans="1:15">
      <c r="A67" s="51"/>
      <c r="B67" s="51" t="s">
        <v>395</v>
      </c>
      <c r="C67" s="356" t="s">
        <v>609</v>
      </c>
      <c r="D67" s="356" t="s">
        <v>632</v>
      </c>
      <c r="E67" s="356" t="s">
        <v>639</v>
      </c>
      <c r="F67" s="357">
        <f t="shared" si="11"/>
        <v>69</v>
      </c>
      <c r="G67" s="358" t="s">
        <v>86</v>
      </c>
      <c r="H67" s="359">
        <v>0</v>
      </c>
      <c r="I67" s="157">
        <f t="shared" si="10"/>
        <v>69</v>
      </c>
      <c r="J67" s="50" t="s">
        <v>86</v>
      </c>
      <c r="K67" s="268"/>
      <c r="L67" s="13">
        <f>'Lintels &amp; steelwork'!H29</f>
        <v>4</v>
      </c>
      <c r="M67" s="51" t="s">
        <v>86</v>
      </c>
      <c r="O67" s="270">
        <f t="shared" si="12"/>
        <v>276</v>
      </c>
    </row>
    <row r="68" spans="1:15">
      <c r="A68" s="51"/>
      <c r="B68" s="51" t="s">
        <v>926</v>
      </c>
      <c r="C68" s="356"/>
      <c r="D68" s="356"/>
      <c r="E68" s="356"/>
      <c r="F68" s="357">
        <v>200</v>
      </c>
      <c r="G68" s="358" t="s">
        <v>86</v>
      </c>
      <c r="H68" s="359">
        <v>0</v>
      </c>
      <c r="I68" s="157">
        <f t="shared" si="10"/>
        <v>200</v>
      </c>
      <c r="J68" s="50" t="s">
        <v>86</v>
      </c>
      <c r="K68" s="268"/>
      <c r="L68" s="13">
        <f ca="1">'External walls (Brickwork)'!H84</f>
        <v>2.6</v>
      </c>
      <c r="M68" s="51" t="s">
        <v>86</v>
      </c>
      <c r="O68" s="271">
        <f t="shared" ca="1" si="12"/>
        <v>520</v>
      </c>
    </row>
    <row r="69" spans="1:15">
      <c r="A69" s="125" t="s">
        <v>413</v>
      </c>
      <c r="B69" s="125" t="s">
        <v>414</v>
      </c>
      <c r="C69" s="356" t="s">
        <v>927</v>
      </c>
      <c r="D69" s="356"/>
      <c r="E69" s="356"/>
      <c r="F69" s="357">
        <v>50</v>
      </c>
      <c r="G69" s="358" t="s">
        <v>86</v>
      </c>
      <c r="H69" s="359">
        <v>0.5</v>
      </c>
      <c r="I69" s="157">
        <f t="shared" si="10"/>
        <v>75</v>
      </c>
      <c r="J69" s="50" t="s">
        <v>86</v>
      </c>
      <c r="K69" s="268"/>
      <c r="L69" s="135">
        <f>'Stone work'!H8</f>
        <v>9</v>
      </c>
      <c r="M69" s="125" t="s">
        <v>86</v>
      </c>
      <c r="O69" s="270">
        <f t="shared" si="12"/>
        <v>675</v>
      </c>
    </row>
    <row r="70" spans="1:15">
      <c r="A70" s="51"/>
      <c r="B70" s="51" t="s">
        <v>415</v>
      </c>
      <c r="C70" s="356" t="s">
        <v>928</v>
      </c>
      <c r="D70" s="356"/>
      <c r="E70" s="356"/>
      <c r="F70" s="357">
        <v>80</v>
      </c>
      <c r="G70" s="358" t="s">
        <v>86</v>
      </c>
      <c r="H70" s="359">
        <v>0.5</v>
      </c>
      <c r="I70" s="157">
        <f t="shared" si="10"/>
        <v>120</v>
      </c>
      <c r="J70" s="50" t="s">
        <v>86</v>
      </c>
      <c r="K70" s="268"/>
      <c r="L70" s="13">
        <f>'Stone work'!H12</f>
        <v>7</v>
      </c>
      <c r="M70" s="51" t="s">
        <v>86</v>
      </c>
      <c r="O70" s="271">
        <f t="shared" si="12"/>
        <v>840</v>
      </c>
    </row>
    <row r="71" spans="1:15">
      <c r="A71" s="125" t="s">
        <v>54</v>
      </c>
      <c r="B71" s="125" t="s">
        <v>46</v>
      </c>
      <c r="C71" s="356" t="s">
        <v>373</v>
      </c>
      <c r="D71" s="356"/>
      <c r="E71" s="356"/>
      <c r="F71" s="357"/>
      <c r="G71" s="358" t="s">
        <v>86</v>
      </c>
      <c r="H71" s="359">
        <v>0.05</v>
      </c>
      <c r="I71" s="157">
        <f t="shared" si="10"/>
        <v>0</v>
      </c>
      <c r="J71" s="50" t="s">
        <v>86</v>
      </c>
      <c r="K71" s="268"/>
      <c r="L71" s="125"/>
      <c r="M71" s="125" t="s">
        <v>86</v>
      </c>
      <c r="O71" s="270">
        <f t="shared" si="12"/>
        <v>0</v>
      </c>
    </row>
    <row r="72" spans="1:15">
      <c r="A72" s="51"/>
      <c r="B72" s="51" t="s">
        <v>416</v>
      </c>
      <c r="C72" s="356" t="s">
        <v>373</v>
      </c>
      <c r="D72" s="356"/>
      <c r="E72" s="356"/>
      <c r="F72" s="357"/>
      <c r="G72" s="358" t="s">
        <v>86</v>
      </c>
      <c r="H72" s="359">
        <v>0.05</v>
      </c>
      <c r="I72" s="157">
        <f t="shared" si="10"/>
        <v>0</v>
      </c>
      <c r="J72" s="50" t="s">
        <v>86</v>
      </c>
      <c r="K72" s="268"/>
      <c r="L72" s="51"/>
      <c r="M72" s="51" t="s">
        <v>86</v>
      </c>
      <c r="O72" s="270">
        <f t="shared" si="12"/>
        <v>0</v>
      </c>
    </row>
    <row r="73" spans="1:15">
      <c r="A73" s="51"/>
      <c r="B73" s="51" t="s">
        <v>417</v>
      </c>
      <c r="C73" s="356" t="s">
        <v>412</v>
      </c>
      <c r="D73" s="356"/>
      <c r="E73" s="356"/>
      <c r="F73" s="357"/>
      <c r="G73" s="358" t="s">
        <v>86</v>
      </c>
      <c r="H73" s="359">
        <v>0.05</v>
      </c>
      <c r="I73" s="157">
        <f t="shared" si="10"/>
        <v>0</v>
      </c>
      <c r="J73" s="50" t="s">
        <v>86</v>
      </c>
      <c r="K73" s="268"/>
      <c r="L73" s="13"/>
      <c r="M73" s="51" t="s">
        <v>86</v>
      </c>
      <c r="O73" s="270">
        <f t="shared" si="12"/>
        <v>0</v>
      </c>
    </row>
    <row r="74" spans="1:15">
      <c r="A74" s="51"/>
      <c r="B74" s="51" t="s">
        <v>418</v>
      </c>
      <c r="C74" s="356" t="s">
        <v>373</v>
      </c>
      <c r="D74" s="356"/>
      <c r="E74" s="356"/>
      <c r="F74" s="357"/>
      <c r="G74" s="358" t="s">
        <v>86</v>
      </c>
      <c r="H74" s="359">
        <v>0.05</v>
      </c>
      <c r="I74" s="157">
        <f t="shared" si="10"/>
        <v>0</v>
      </c>
      <c r="J74" s="50" t="s">
        <v>86</v>
      </c>
      <c r="K74" s="268"/>
      <c r="L74" s="13"/>
      <c r="M74" s="51" t="s">
        <v>86</v>
      </c>
      <c r="O74" s="271">
        <f t="shared" si="12"/>
        <v>0</v>
      </c>
    </row>
    <row r="75" spans="1:15">
      <c r="A75" s="125" t="s">
        <v>419</v>
      </c>
      <c r="B75" s="125" t="s">
        <v>792</v>
      </c>
      <c r="C75" s="356" t="s">
        <v>782</v>
      </c>
      <c r="D75" s="397" t="s">
        <v>786</v>
      </c>
      <c r="E75" s="398"/>
      <c r="F75" s="357">
        <f>VLOOKUP(D75,LiningPrices,2,0)</f>
        <v>3.5</v>
      </c>
      <c r="G75" s="358" t="s">
        <v>39</v>
      </c>
      <c r="H75" s="359">
        <v>0.05</v>
      </c>
      <c r="I75" s="157">
        <f t="shared" si="10"/>
        <v>3.6749999999999998</v>
      </c>
      <c r="J75" s="50" t="s">
        <v>39</v>
      </c>
      <c r="K75" s="268"/>
      <c r="L75" s="135">
        <f ca="1">'Carpentry (First-fix)'!H34</f>
        <v>65</v>
      </c>
      <c r="M75" s="125" t="s">
        <v>39</v>
      </c>
      <c r="O75" s="270">
        <f ca="1">L75*I75</f>
        <v>238.875</v>
      </c>
    </row>
    <row r="76" spans="1:15">
      <c r="A76" s="51"/>
      <c r="B76" s="51" t="s">
        <v>420</v>
      </c>
      <c r="C76" s="356" t="s">
        <v>796</v>
      </c>
      <c r="D76" s="397" t="s">
        <v>798</v>
      </c>
      <c r="E76" s="398"/>
      <c r="F76" s="357">
        <f>VLOOKUP(D76,WindowBoardPrices,2,0)</f>
        <v>7.5</v>
      </c>
      <c r="G76" s="358" t="s">
        <v>39</v>
      </c>
      <c r="H76" s="359">
        <v>0.05</v>
      </c>
      <c r="I76" s="157">
        <f t="shared" si="10"/>
        <v>7.875</v>
      </c>
      <c r="J76" s="50" t="s">
        <v>39</v>
      </c>
      <c r="K76" s="268"/>
      <c r="L76" s="13">
        <f ca="1">'Carpentry (First-fix)'!H40</f>
        <v>16.3</v>
      </c>
      <c r="M76" s="51" t="s">
        <v>39</v>
      </c>
      <c r="O76" s="270">
        <f t="shared" ref="O76:O117" ca="1" si="13">L76*I76</f>
        <v>128.36250000000001</v>
      </c>
    </row>
    <row r="77" spans="1:15">
      <c r="A77" s="51"/>
      <c r="B77" s="51" t="s">
        <v>421</v>
      </c>
      <c r="C77" s="356" t="s">
        <v>802</v>
      </c>
      <c r="D77" s="397" t="s">
        <v>804</v>
      </c>
      <c r="E77" s="398"/>
      <c r="F77" s="357">
        <f>VLOOKUP(D77,StairPrices,2,0)</f>
        <v>650</v>
      </c>
      <c r="G77" s="358" t="s">
        <v>86</v>
      </c>
      <c r="H77" s="359">
        <v>0</v>
      </c>
      <c r="I77" s="157">
        <f t="shared" si="10"/>
        <v>650</v>
      </c>
      <c r="J77" s="50" t="s">
        <v>86</v>
      </c>
      <c r="K77" s="268"/>
      <c r="L77" s="13">
        <f>'Carpentry (First-fix)'!H47</f>
        <v>1</v>
      </c>
      <c r="M77" s="51" t="s">
        <v>86</v>
      </c>
      <c r="O77" s="270">
        <f t="shared" si="13"/>
        <v>650</v>
      </c>
    </row>
    <row r="78" spans="1:15">
      <c r="A78" s="51"/>
      <c r="B78" s="51" t="s">
        <v>425</v>
      </c>
      <c r="C78" s="356"/>
      <c r="D78" s="356"/>
      <c r="E78" s="356"/>
      <c r="F78" s="357">
        <v>140</v>
      </c>
      <c r="G78" s="358" t="s">
        <v>86</v>
      </c>
      <c r="H78" s="359">
        <v>0</v>
      </c>
      <c r="I78" s="157">
        <f t="shared" si="10"/>
        <v>140</v>
      </c>
      <c r="J78" s="50" t="s">
        <v>86</v>
      </c>
      <c r="K78" s="268"/>
      <c r="L78" s="13">
        <f>'Carpentry (First-fix)'!H51</f>
        <v>1</v>
      </c>
      <c r="M78" s="51" t="s">
        <v>86</v>
      </c>
      <c r="O78" s="270">
        <f t="shared" si="13"/>
        <v>140</v>
      </c>
    </row>
    <row r="79" spans="1:15">
      <c r="A79" s="51"/>
      <c r="B79" s="51" t="s">
        <v>225</v>
      </c>
      <c r="C79" s="356"/>
      <c r="D79" s="356"/>
      <c r="E79" s="356"/>
      <c r="F79" s="357">
        <v>75</v>
      </c>
      <c r="G79" s="358" t="s">
        <v>86</v>
      </c>
      <c r="H79" s="359">
        <v>0</v>
      </c>
      <c r="I79" s="157">
        <f t="shared" si="10"/>
        <v>75</v>
      </c>
      <c r="J79" s="50" t="s">
        <v>86</v>
      </c>
      <c r="K79" s="268"/>
      <c r="L79" s="13">
        <f>'Carpentry (First-fix)'!H55</f>
        <v>1</v>
      </c>
      <c r="M79" s="51" t="s">
        <v>86</v>
      </c>
      <c r="O79" s="270">
        <f t="shared" si="13"/>
        <v>75</v>
      </c>
    </row>
    <row r="80" spans="1:15">
      <c r="A80" s="51"/>
      <c r="B80" s="51" t="s">
        <v>422</v>
      </c>
      <c r="C80" s="356" t="s">
        <v>814</v>
      </c>
      <c r="D80" s="397" t="s">
        <v>816</v>
      </c>
      <c r="E80" s="398"/>
      <c r="F80" s="357">
        <f>VLOOKUP(D80,ArchitravePrices,2,0)</f>
        <v>2.5</v>
      </c>
      <c r="G80" s="358" t="s">
        <v>39</v>
      </c>
      <c r="H80" s="359">
        <v>0.15</v>
      </c>
      <c r="I80" s="157">
        <f t="shared" si="10"/>
        <v>2.875</v>
      </c>
      <c r="J80" s="50" t="s">
        <v>39</v>
      </c>
      <c r="K80" s="268"/>
      <c r="L80" s="13">
        <f ca="1">'Carpentry (Second-fix)'!H10</f>
        <v>130</v>
      </c>
      <c r="M80" s="51" t="s">
        <v>39</v>
      </c>
      <c r="O80" s="270">
        <f t="shared" ca="1" si="13"/>
        <v>373.75</v>
      </c>
    </row>
    <row r="81" spans="1:15">
      <c r="A81" s="51"/>
      <c r="B81" s="51" t="s">
        <v>423</v>
      </c>
      <c r="C81" s="397" t="s">
        <v>827</v>
      </c>
      <c r="D81" s="402"/>
      <c r="E81" s="398"/>
      <c r="F81" s="357">
        <v>65</v>
      </c>
      <c r="G81" s="358" t="s">
        <v>86</v>
      </c>
      <c r="H81" s="359">
        <v>0</v>
      </c>
      <c r="I81" s="157">
        <f t="shared" si="10"/>
        <v>65</v>
      </c>
      <c r="J81" s="50" t="s">
        <v>86</v>
      </c>
      <c r="K81" s="268"/>
      <c r="L81" s="13">
        <f>'Carpentry (Second-fix)'!H16</f>
        <v>13</v>
      </c>
      <c r="M81" s="51" t="s">
        <v>86</v>
      </c>
      <c r="O81" s="270">
        <f t="shared" si="13"/>
        <v>845</v>
      </c>
    </row>
    <row r="82" spans="1:15">
      <c r="A82" s="51"/>
      <c r="B82" s="51" t="s">
        <v>424</v>
      </c>
      <c r="C82" s="356" t="s">
        <v>828</v>
      </c>
      <c r="D82" s="397" t="s">
        <v>816</v>
      </c>
      <c r="E82" s="398"/>
      <c r="F82" s="357">
        <f>VLOOKUP(D82,SkirtingPrices,2,0)</f>
        <v>3.5</v>
      </c>
      <c r="G82" s="358" t="s">
        <v>39</v>
      </c>
      <c r="H82" s="359">
        <v>0.1</v>
      </c>
      <c r="I82" s="157">
        <f t="shared" si="10"/>
        <v>3.85</v>
      </c>
      <c r="J82" s="50" t="s">
        <v>39</v>
      </c>
      <c r="K82" s="268"/>
      <c r="L82" s="13">
        <f ca="1">'Carpentry (Second-fix)'!H22</f>
        <v>152.99999999999997</v>
      </c>
      <c r="M82" s="51" t="s">
        <v>39</v>
      </c>
      <c r="O82" s="270">
        <f t="shared" ca="1" si="13"/>
        <v>589.04999999999995</v>
      </c>
    </row>
    <row r="83" spans="1:15">
      <c r="A83" s="125" t="s">
        <v>429</v>
      </c>
      <c r="B83" s="125" t="s">
        <v>432</v>
      </c>
      <c r="C83" s="356" t="s">
        <v>431</v>
      </c>
      <c r="D83" s="397" t="s">
        <v>826</v>
      </c>
      <c r="E83" s="398"/>
      <c r="F83" s="357">
        <v>15</v>
      </c>
      <c r="G83" s="358" t="s">
        <v>213</v>
      </c>
      <c r="H83" s="359">
        <v>0.05</v>
      </c>
      <c r="I83" s="157">
        <f t="shared" si="10"/>
        <v>15.75</v>
      </c>
      <c r="J83" s="50" t="s">
        <v>213</v>
      </c>
      <c r="K83" s="268"/>
      <c r="L83" s="135"/>
      <c r="M83" s="125" t="s">
        <v>213</v>
      </c>
      <c r="O83" s="158">
        <f>L83*I83</f>
        <v>0</v>
      </c>
    </row>
    <row r="84" spans="1:15">
      <c r="A84" s="51"/>
      <c r="B84" s="51" t="s">
        <v>430</v>
      </c>
      <c r="C84" s="356" t="s">
        <v>431</v>
      </c>
      <c r="D84" s="397" t="s">
        <v>826</v>
      </c>
      <c r="E84" s="398"/>
      <c r="F84" s="357">
        <v>25</v>
      </c>
      <c r="G84" s="358" t="s">
        <v>213</v>
      </c>
      <c r="H84" s="359">
        <v>0.05</v>
      </c>
      <c r="I84" s="157">
        <f t="shared" si="10"/>
        <v>26.25</v>
      </c>
      <c r="J84" s="50" t="s">
        <v>213</v>
      </c>
      <c r="K84" s="268"/>
      <c r="L84" s="13"/>
      <c r="M84" s="51" t="s">
        <v>213</v>
      </c>
      <c r="O84" s="270">
        <f t="shared" si="13"/>
        <v>0</v>
      </c>
    </row>
    <row r="85" spans="1:15">
      <c r="A85" s="125" t="s">
        <v>433</v>
      </c>
      <c r="B85" s="125" t="s">
        <v>434</v>
      </c>
      <c r="C85" s="356" t="s">
        <v>855</v>
      </c>
      <c r="D85" s="397" t="s">
        <v>832</v>
      </c>
      <c r="E85" s="398"/>
      <c r="F85" s="357">
        <f t="shared" ref="F85:F92" si="14">VLOOKUP(D85,GutterPrices,2,0)</f>
        <v>6.5</v>
      </c>
      <c r="G85" s="358" t="s">
        <v>39</v>
      </c>
      <c r="H85" s="359">
        <v>0.05</v>
      </c>
      <c r="I85" s="157">
        <f t="shared" si="10"/>
        <v>6.8250000000000002</v>
      </c>
      <c r="J85" s="50" t="s">
        <v>39</v>
      </c>
      <c r="K85" s="268"/>
      <c r="L85" s="135">
        <f ca="1">Guttering!H9</f>
        <v>28.7</v>
      </c>
      <c r="M85" s="125" t="s">
        <v>39</v>
      </c>
      <c r="O85" s="158">
        <f t="shared" ca="1" si="13"/>
        <v>195.8775</v>
      </c>
    </row>
    <row r="86" spans="1:15">
      <c r="A86" s="51"/>
      <c r="B86" s="51" t="s">
        <v>435</v>
      </c>
      <c r="C86" s="356" t="s">
        <v>855</v>
      </c>
      <c r="D86" s="397" t="s">
        <v>833</v>
      </c>
      <c r="E86" s="398"/>
      <c r="F86" s="357">
        <f t="shared" si="14"/>
        <v>3.5</v>
      </c>
      <c r="G86" s="358" t="s">
        <v>86</v>
      </c>
      <c r="H86" s="359">
        <v>0.05</v>
      </c>
      <c r="I86" s="157">
        <f t="shared" si="10"/>
        <v>3.6749999999999998</v>
      </c>
      <c r="J86" s="50" t="s">
        <v>86</v>
      </c>
      <c r="K86" s="268"/>
      <c r="L86" s="13">
        <f>Guttering!H15</f>
        <v>10</v>
      </c>
      <c r="M86" s="51" t="s">
        <v>86</v>
      </c>
      <c r="O86" s="270">
        <f t="shared" si="13"/>
        <v>36.75</v>
      </c>
    </row>
    <row r="87" spans="1:15">
      <c r="A87" s="51"/>
      <c r="B87" s="51" t="s">
        <v>436</v>
      </c>
      <c r="C87" s="356" t="s">
        <v>855</v>
      </c>
      <c r="D87" s="397" t="s">
        <v>834</v>
      </c>
      <c r="E87" s="398"/>
      <c r="F87" s="357">
        <f t="shared" si="14"/>
        <v>6.5</v>
      </c>
      <c r="G87" s="358" t="s">
        <v>86</v>
      </c>
      <c r="H87" s="359">
        <v>0.05</v>
      </c>
      <c r="I87" s="157">
        <f t="shared" si="10"/>
        <v>6.8250000000000002</v>
      </c>
      <c r="J87" s="50" t="s">
        <v>86</v>
      </c>
      <c r="K87" s="268"/>
      <c r="L87" s="13">
        <f>Guttering!H21</f>
        <v>7</v>
      </c>
      <c r="M87" s="51" t="s">
        <v>86</v>
      </c>
      <c r="O87" s="270">
        <f t="shared" si="13"/>
        <v>47.774999999999999</v>
      </c>
    </row>
    <row r="88" spans="1:15">
      <c r="A88" s="51"/>
      <c r="B88" s="51" t="s">
        <v>437</v>
      </c>
      <c r="C88" s="356" t="s">
        <v>855</v>
      </c>
      <c r="D88" s="397" t="s">
        <v>835</v>
      </c>
      <c r="E88" s="398"/>
      <c r="F88" s="357">
        <f t="shared" si="14"/>
        <v>3.5</v>
      </c>
      <c r="G88" s="358" t="s">
        <v>86</v>
      </c>
      <c r="H88" s="359">
        <v>0.05</v>
      </c>
      <c r="I88" s="157">
        <f t="shared" si="10"/>
        <v>3.6749999999999998</v>
      </c>
      <c r="J88" s="50" t="s">
        <v>86</v>
      </c>
      <c r="K88" s="268"/>
      <c r="L88" s="13">
        <f>Guttering!H27+Guttering!H40</f>
        <v>15</v>
      </c>
      <c r="M88" s="51" t="s">
        <v>86</v>
      </c>
      <c r="O88" s="270">
        <f t="shared" si="13"/>
        <v>55.125</v>
      </c>
    </row>
    <row r="89" spans="1:15">
      <c r="A89" s="51"/>
      <c r="B89" s="51" t="s">
        <v>438</v>
      </c>
      <c r="C89" s="356" t="s">
        <v>855</v>
      </c>
      <c r="D89" s="397" t="s">
        <v>845</v>
      </c>
      <c r="E89" s="398"/>
      <c r="F89" s="357">
        <f t="shared" si="14"/>
        <v>6.5</v>
      </c>
      <c r="G89" s="358" t="s">
        <v>39</v>
      </c>
      <c r="H89" s="359">
        <v>0.05</v>
      </c>
      <c r="I89" s="157">
        <f t="shared" si="10"/>
        <v>6.8250000000000002</v>
      </c>
      <c r="J89" s="50" t="s">
        <v>39</v>
      </c>
      <c r="K89" s="268"/>
      <c r="L89" s="13">
        <f ca="1">Guttering!H34</f>
        <v>31</v>
      </c>
      <c r="M89" s="51" t="s">
        <v>39</v>
      </c>
      <c r="O89" s="270">
        <f t="shared" ca="1" si="13"/>
        <v>211.57500000000002</v>
      </c>
    </row>
    <row r="90" spans="1:15">
      <c r="A90" s="51"/>
      <c r="B90" s="51" t="s">
        <v>465</v>
      </c>
      <c r="C90" s="356" t="s">
        <v>855</v>
      </c>
      <c r="D90" s="397" t="s">
        <v>835</v>
      </c>
      <c r="E90" s="398"/>
      <c r="F90" s="357">
        <f t="shared" si="14"/>
        <v>3.5</v>
      </c>
      <c r="G90" s="358" t="s">
        <v>86</v>
      </c>
      <c r="H90" s="359">
        <v>0.05</v>
      </c>
      <c r="I90" s="157">
        <f t="shared" si="10"/>
        <v>3.6749999999999998</v>
      </c>
      <c r="J90" s="50" t="s">
        <v>86</v>
      </c>
      <c r="K90" s="268"/>
      <c r="L90" s="13">
        <f>Guttering!H40</f>
        <v>14</v>
      </c>
      <c r="M90" s="51" t="s">
        <v>86</v>
      </c>
      <c r="O90" s="270">
        <f t="shared" si="13"/>
        <v>51.449999999999996</v>
      </c>
    </row>
    <row r="91" spans="1:15">
      <c r="A91" s="51"/>
      <c r="B91" s="51" t="s">
        <v>439</v>
      </c>
      <c r="C91" s="356" t="s">
        <v>855</v>
      </c>
      <c r="D91" s="397" t="s">
        <v>836</v>
      </c>
      <c r="E91" s="398"/>
      <c r="F91" s="357">
        <f t="shared" si="14"/>
        <v>4.5</v>
      </c>
      <c r="G91" s="358" t="s">
        <v>86</v>
      </c>
      <c r="H91" s="359">
        <v>0.05</v>
      </c>
      <c r="I91" s="157">
        <f t="shared" si="10"/>
        <v>4.7249999999999996</v>
      </c>
      <c r="J91" s="50" t="s">
        <v>86</v>
      </c>
      <c r="K91" s="268"/>
      <c r="L91" s="13"/>
      <c r="M91" s="51" t="s">
        <v>86</v>
      </c>
      <c r="O91" s="270">
        <f t="shared" si="13"/>
        <v>0</v>
      </c>
    </row>
    <row r="92" spans="1:15">
      <c r="A92" s="51"/>
      <c r="B92" s="51" t="s">
        <v>862</v>
      </c>
      <c r="C92" s="356" t="s">
        <v>855</v>
      </c>
      <c r="D92" s="397" t="s">
        <v>837</v>
      </c>
      <c r="E92" s="398"/>
      <c r="F92" s="357">
        <f t="shared" si="14"/>
        <v>6.5</v>
      </c>
      <c r="G92" s="358" t="s">
        <v>86</v>
      </c>
      <c r="H92" s="359">
        <v>0.05</v>
      </c>
      <c r="I92" s="157">
        <f t="shared" si="10"/>
        <v>6.8250000000000002</v>
      </c>
      <c r="J92" s="50" t="s">
        <v>86</v>
      </c>
      <c r="K92" s="268"/>
      <c r="L92" s="13"/>
      <c r="M92" s="51" t="s">
        <v>86</v>
      </c>
      <c r="O92" s="270">
        <f t="shared" si="13"/>
        <v>0</v>
      </c>
    </row>
    <row r="93" spans="1:15">
      <c r="A93" s="125" t="s">
        <v>58</v>
      </c>
      <c r="B93" s="125" t="s">
        <v>440</v>
      </c>
      <c r="C93" s="356"/>
      <c r="D93" s="397"/>
      <c r="E93" s="398"/>
      <c r="F93" s="357">
        <v>8.5</v>
      </c>
      <c r="G93" s="358" t="s">
        <v>39</v>
      </c>
      <c r="H93" s="359">
        <v>0</v>
      </c>
      <c r="I93" s="157">
        <f t="shared" si="10"/>
        <v>8.5</v>
      </c>
      <c r="J93" s="50" t="s">
        <v>39</v>
      </c>
      <c r="K93" s="268"/>
      <c r="L93" s="135">
        <f ca="1">'Bel Ground Drain (Storm - Mach)'!H18+'Bel Ground Drain (Foul - Mach)'!H18</f>
        <v>138.30000000000001</v>
      </c>
      <c r="M93" s="125" t="s">
        <v>39</v>
      </c>
      <c r="O93" s="158">
        <f t="shared" ca="1" si="13"/>
        <v>1175.5500000000002</v>
      </c>
    </row>
    <row r="94" spans="1:15">
      <c r="A94" s="51"/>
      <c r="B94" s="51" t="s">
        <v>441</v>
      </c>
      <c r="C94" s="356"/>
      <c r="D94" s="397"/>
      <c r="E94" s="398"/>
      <c r="F94" s="357">
        <v>18.5</v>
      </c>
      <c r="G94" s="358" t="s">
        <v>86</v>
      </c>
      <c r="H94" s="359">
        <v>0</v>
      </c>
      <c r="I94" s="157">
        <f t="shared" si="10"/>
        <v>18.5</v>
      </c>
      <c r="J94" s="50" t="s">
        <v>86</v>
      </c>
      <c r="K94" s="268"/>
      <c r="L94" s="13">
        <f>'Bel Ground Drain (Storm - Mach)'!H27+'Bel Ground Drain (Foul - Mach)'!H27</f>
        <v>11</v>
      </c>
      <c r="M94" s="51" t="s">
        <v>86</v>
      </c>
      <c r="O94" s="270">
        <f t="shared" si="13"/>
        <v>203.5</v>
      </c>
    </row>
    <row r="95" spans="1:15">
      <c r="A95" s="51"/>
      <c r="B95" s="51" t="s">
        <v>442</v>
      </c>
      <c r="C95" s="356"/>
      <c r="D95" s="397"/>
      <c r="E95" s="398"/>
      <c r="F95" s="357">
        <v>75</v>
      </c>
      <c r="G95" s="358" t="s">
        <v>86</v>
      </c>
      <c r="H95" s="359">
        <v>0</v>
      </c>
      <c r="I95" s="157">
        <f t="shared" si="10"/>
        <v>75</v>
      </c>
      <c r="J95" s="50" t="s">
        <v>86</v>
      </c>
      <c r="K95" s="268"/>
      <c r="L95" s="13">
        <f>'Bel Ground Drain (Foul - Mach)'!H31</f>
        <v>1</v>
      </c>
      <c r="M95" s="51" t="s">
        <v>86</v>
      </c>
      <c r="O95" s="270">
        <f t="shared" si="13"/>
        <v>75</v>
      </c>
    </row>
    <row r="96" spans="1:15">
      <c r="A96" s="51"/>
      <c r="B96" s="51" t="s">
        <v>443</v>
      </c>
      <c r="C96" s="356"/>
      <c r="D96" s="397"/>
      <c r="E96" s="398"/>
      <c r="F96" s="357">
        <v>45</v>
      </c>
      <c r="G96" s="358" t="s">
        <v>86</v>
      </c>
      <c r="H96" s="359">
        <v>0</v>
      </c>
      <c r="I96" s="157">
        <f t="shared" si="10"/>
        <v>45</v>
      </c>
      <c r="J96" s="50" t="s">
        <v>86</v>
      </c>
      <c r="K96" s="268"/>
      <c r="L96" s="13"/>
      <c r="M96" s="51" t="s">
        <v>39</v>
      </c>
      <c r="O96" s="270">
        <f t="shared" si="13"/>
        <v>0</v>
      </c>
    </row>
    <row r="97" spans="1:15">
      <c r="A97" s="51"/>
      <c r="B97" s="51" t="s">
        <v>444</v>
      </c>
      <c r="C97" s="356"/>
      <c r="D97" s="397"/>
      <c r="E97" s="398"/>
      <c r="F97" s="357">
        <v>22.5</v>
      </c>
      <c r="G97" s="358" t="s">
        <v>86</v>
      </c>
      <c r="H97" s="359">
        <v>0</v>
      </c>
      <c r="I97" s="157">
        <f t="shared" si="10"/>
        <v>22.5</v>
      </c>
      <c r="J97" s="50" t="s">
        <v>86</v>
      </c>
      <c r="K97" s="268"/>
      <c r="L97" s="13"/>
      <c r="M97" s="51" t="s">
        <v>86</v>
      </c>
      <c r="O97" s="270">
        <f t="shared" si="13"/>
        <v>0</v>
      </c>
    </row>
    <row r="98" spans="1:15">
      <c r="A98" s="51"/>
      <c r="B98" s="51" t="s">
        <v>450</v>
      </c>
      <c r="C98" s="356"/>
      <c r="D98" s="397"/>
      <c r="E98" s="398"/>
      <c r="F98" s="357">
        <v>285</v>
      </c>
      <c r="G98" s="358" t="s">
        <v>86</v>
      </c>
      <c r="H98" s="359">
        <v>0</v>
      </c>
      <c r="I98" s="157">
        <f t="shared" si="10"/>
        <v>285</v>
      </c>
      <c r="J98" s="50" t="s">
        <v>86</v>
      </c>
      <c r="K98" s="268"/>
      <c r="L98" s="13">
        <f>'Bel Ground Drain (Storm - Mach)'!H33+'Bel Ground Drain (Foul - Mach)'!H37</f>
        <v>10</v>
      </c>
      <c r="M98" s="51" t="s">
        <v>86</v>
      </c>
      <c r="O98" s="270">
        <f t="shared" si="13"/>
        <v>2850</v>
      </c>
    </row>
    <row r="99" spans="1:15">
      <c r="A99" s="51"/>
      <c r="B99" s="51" t="s">
        <v>451</v>
      </c>
      <c r="C99" s="356"/>
      <c r="D99" s="397"/>
      <c r="E99" s="398"/>
      <c r="F99" s="357">
        <v>85</v>
      </c>
      <c r="G99" s="358" t="s">
        <v>86</v>
      </c>
      <c r="H99" s="359">
        <v>0</v>
      </c>
      <c r="I99" s="157">
        <f t="shared" si="10"/>
        <v>85</v>
      </c>
      <c r="J99" s="50" t="s">
        <v>86</v>
      </c>
      <c r="K99" s="268"/>
      <c r="L99" s="13">
        <f>'Foul Pumping Station'!H32</f>
        <v>1</v>
      </c>
      <c r="M99" s="51" t="s">
        <v>86</v>
      </c>
      <c r="O99" s="270">
        <f t="shared" si="13"/>
        <v>85</v>
      </c>
    </row>
    <row r="100" spans="1:15">
      <c r="A100" s="51"/>
      <c r="B100" s="51" t="s">
        <v>452</v>
      </c>
      <c r="C100" s="356"/>
      <c r="D100" s="397"/>
      <c r="E100" s="398"/>
      <c r="F100" s="357">
        <v>85</v>
      </c>
      <c r="G100" s="358" t="s">
        <v>86</v>
      </c>
      <c r="H100" s="359">
        <v>0</v>
      </c>
      <c r="I100" s="157">
        <f t="shared" si="10"/>
        <v>85</v>
      </c>
      <c r="J100" s="50" t="s">
        <v>86</v>
      </c>
      <c r="K100" s="268"/>
      <c r="L100" s="13"/>
      <c r="M100" s="51" t="s">
        <v>86</v>
      </c>
      <c r="O100" s="270">
        <f t="shared" si="13"/>
        <v>0</v>
      </c>
    </row>
    <row r="101" spans="1:15">
      <c r="A101" s="51"/>
      <c r="B101" s="51" t="s">
        <v>453</v>
      </c>
      <c r="C101" s="356"/>
      <c r="D101" s="397"/>
      <c r="E101" s="398"/>
      <c r="F101" s="357">
        <v>325</v>
      </c>
      <c r="G101" s="358" t="s">
        <v>86</v>
      </c>
      <c r="H101" s="359">
        <v>0</v>
      </c>
      <c r="I101" s="157">
        <f t="shared" si="10"/>
        <v>325</v>
      </c>
      <c r="J101" s="50" t="s">
        <v>86</v>
      </c>
      <c r="K101" s="268"/>
      <c r="L101" s="13"/>
      <c r="M101" s="51" t="s">
        <v>86</v>
      </c>
      <c r="O101" s="270">
        <f t="shared" si="13"/>
        <v>0</v>
      </c>
    </row>
    <row r="102" spans="1:15">
      <c r="A102" s="51"/>
      <c r="B102" s="51" t="s">
        <v>454</v>
      </c>
      <c r="C102" s="356"/>
      <c r="D102" s="397"/>
      <c r="E102" s="398"/>
      <c r="F102" s="357">
        <v>35</v>
      </c>
      <c r="G102" s="358" t="s">
        <v>86</v>
      </c>
      <c r="H102" s="359">
        <v>0</v>
      </c>
      <c r="I102" s="157">
        <f t="shared" si="10"/>
        <v>35</v>
      </c>
      <c r="J102" s="50" t="s">
        <v>86</v>
      </c>
      <c r="K102" s="268"/>
      <c r="L102" s="13">
        <f>'Rainwater Attenuation'!H32</f>
        <v>6</v>
      </c>
      <c r="M102" s="51" t="s">
        <v>86</v>
      </c>
      <c r="O102" s="270">
        <f t="shared" si="13"/>
        <v>210</v>
      </c>
    </row>
    <row r="103" spans="1:15">
      <c r="A103" s="51"/>
      <c r="B103" s="51" t="s">
        <v>925</v>
      </c>
      <c r="C103" s="356"/>
      <c r="D103" s="340"/>
      <c r="E103" s="341"/>
      <c r="F103" s="357">
        <v>1800</v>
      </c>
      <c r="G103" s="358" t="s">
        <v>86</v>
      </c>
      <c r="H103" s="359">
        <v>0</v>
      </c>
      <c r="I103" s="157">
        <f t="shared" ref="I103" si="15">SUM((F103*H103)+F103)</f>
        <v>1800</v>
      </c>
      <c r="J103" s="50" t="s">
        <v>86</v>
      </c>
      <c r="K103" s="268"/>
      <c r="L103" s="13">
        <f>'Foul Pumping Station'!H32</f>
        <v>1</v>
      </c>
      <c r="M103" s="51" t="s">
        <v>86</v>
      </c>
      <c r="O103" s="270">
        <f t="shared" ref="O103" si="16">L103*I103</f>
        <v>1800</v>
      </c>
    </row>
    <row r="104" spans="1:15">
      <c r="A104" s="51"/>
      <c r="B104" s="51" t="s">
        <v>924</v>
      </c>
      <c r="C104" s="356"/>
      <c r="D104" s="397"/>
      <c r="E104" s="398"/>
      <c r="F104" s="357">
        <v>2000</v>
      </c>
      <c r="G104" s="358" t="s">
        <v>86</v>
      </c>
      <c r="H104" s="359">
        <v>0</v>
      </c>
      <c r="I104" s="157">
        <f t="shared" si="10"/>
        <v>2000</v>
      </c>
      <c r="J104" s="50" t="s">
        <v>86</v>
      </c>
      <c r="K104" s="268"/>
      <c r="L104" s="13">
        <f>'Rainwater Harvester'!H25</f>
        <v>1</v>
      </c>
      <c r="M104" s="51" t="s">
        <v>86</v>
      </c>
      <c r="O104" s="270">
        <f t="shared" si="13"/>
        <v>2000</v>
      </c>
    </row>
    <row r="105" spans="1:15">
      <c r="A105" s="125" t="s">
        <v>456</v>
      </c>
      <c r="B105" s="125" t="s">
        <v>457</v>
      </c>
      <c r="C105" s="356" t="s">
        <v>695</v>
      </c>
      <c r="D105" s="356" t="s">
        <v>723</v>
      </c>
      <c r="E105" s="356" t="s">
        <v>714</v>
      </c>
      <c r="F105" s="357">
        <f>VLOOKUP(E105,CladdingPrices,2,0)</f>
        <v>25.37</v>
      </c>
      <c r="G105" s="358" t="s">
        <v>213</v>
      </c>
      <c r="H105" s="359">
        <v>0.05</v>
      </c>
      <c r="I105" s="157">
        <f>ROUNDUP(SUM((F105*H105)+F105),1)</f>
        <v>26.700000000000003</v>
      </c>
      <c r="J105" s="50" t="s">
        <v>213</v>
      </c>
      <c r="K105" s="268"/>
      <c r="L105" s="135"/>
      <c r="M105" s="125" t="s">
        <v>213</v>
      </c>
      <c r="O105" s="158">
        <f t="shared" si="13"/>
        <v>0</v>
      </c>
    </row>
    <row r="106" spans="1:15">
      <c r="A106" s="51"/>
      <c r="B106" s="51" t="s">
        <v>458</v>
      </c>
      <c r="C106" s="356" t="s">
        <v>826</v>
      </c>
      <c r="D106" s="397"/>
      <c r="E106" s="398"/>
      <c r="F106" s="357">
        <v>20</v>
      </c>
      <c r="G106" s="358" t="s">
        <v>213</v>
      </c>
      <c r="H106" s="359">
        <v>0.05</v>
      </c>
      <c r="I106" s="157">
        <f>ROUNDUP(SUM((F106*H106)+F106),1)</f>
        <v>21</v>
      </c>
      <c r="J106" s="50" t="s">
        <v>213</v>
      </c>
      <c r="K106" s="268"/>
      <c r="L106" s="13">
        <f ca="1">'External Works'!H33</f>
        <v>30.17</v>
      </c>
      <c r="M106" s="51" t="s">
        <v>213</v>
      </c>
      <c r="O106" s="270">
        <f t="shared" ca="1" si="13"/>
        <v>633.57000000000005</v>
      </c>
    </row>
    <row r="107" spans="1:15">
      <c r="A107" s="51"/>
      <c r="B107" s="51" t="s">
        <v>459</v>
      </c>
      <c r="C107" s="399"/>
      <c r="D107" s="400"/>
      <c r="E107" s="401"/>
      <c r="F107" s="357">
        <v>15</v>
      </c>
      <c r="G107" s="358" t="s">
        <v>39</v>
      </c>
      <c r="H107" s="359">
        <v>0.05</v>
      </c>
      <c r="I107" s="157">
        <f>ROUNDUP(SUM((F107*H107)+F107),1)</f>
        <v>15.799999999999999</v>
      </c>
      <c r="J107" s="50" t="s">
        <v>39</v>
      </c>
      <c r="K107" s="268"/>
      <c r="L107" s="13">
        <f ca="1">'External Works'!H70</f>
        <v>40.199999999999996</v>
      </c>
      <c r="M107" s="51" t="s">
        <v>39</v>
      </c>
      <c r="O107" s="270">
        <f t="shared" ca="1" si="13"/>
        <v>635.15999999999985</v>
      </c>
    </row>
    <row r="108" spans="1:15">
      <c r="A108" s="125" t="s">
        <v>445</v>
      </c>
      <c r="B108" s="125" t="s">
        <v>446</v>
      </c>
      <c r="C108" s="356"/>
      <c r="D108" s="356"/>
      <c r="E108" s="356"/>
      <c r="F108" s="357">
        <v>1.25</v>
      </c>
      <c r="G108" s="358" t="s">
        <v>39</v>
      </c>
      <c r="H108" s="359">
        <v>0.05</v>
      </c>
      <c r="I108" s="157">
        <f t="shared" ref="I108:I111" si="17">ROUNDUP(SUM((F108*H108)+F108),1)</f>
        <v>1.4000000000000001</v>
      </c>
      <c r="J108" s="50" t="s">
        <v>39</v>
      </c>
      <c r="K108" s="268"/>
      <c r="L108" s="135">
        <f ca="1">'Brickwork to DPC'!H35+'Brickwork to DPC'!H54</f>
        <v>215.3</v>
      </c>
      <c r="M108" s="125" t="s">
        <v>39</v>
      </c>
      <c r="O108" s="158">
        <f t="shared" ca="1" si="13"/>
        <v>301.42000000000007</v>
      </c>
    </row>
    <row r="109" spans="1:15">
      <c r="A109" s="51"/>
      <c r="B109" s="51" t="s">
        <v>447</v>
      </c>
      <c r="C109" s="356"/>
      <c r="D109" s="356"/>
      <c r="E109" s="356"/>
      <c r="F109" s="357">
        <v>4.5</v>
      </c>
      <c r="G109" s="358" t="s">
        <v>213</v>
      </c>
      <c r="H109" s="359">
        <v>0.05</v>
      </c>
      <c r="I109" s="157">
        <f t="shared" si="17"/>
        <v>4.8</v>
      </c>
      <c r="J109" s="50" t="s">
        <v>213</v>
      </c>
      <c r="K109" s="268"/>
      <c r="L109" s="13">
        <f ca="1">'Ground floor (Beam &amp; Block)'!H11</f>
        <v>75.015000000000001</v>
      </c>
      <c r="M109" s="51" t="s">
        <v>213</v>
      </c>
      <c r="O109" s="270">
        <f t="shared" ca="1" si="13"/>
        <v>360.072</v>
      </c>
    </row>
    <row r="110" spans="1:15">
      <c r="A110" s="51"/>
      <c r="B110" s="51" t="s">
        <v>448</v>
      </c>
      <c r="C110" s="356"/>
      <c r="D110" s="356"/>
      <c r="E110" s="356"/>
      <c r="F110" s="357">
        <v>1.5</v>
      </c>
      <c r="G110" s="358" t="s">
        <v>213</v>
      </c>
      <c r="H110" s="359">
        <v>0.05</v>
      </c>
      <c r="I110" s="157">
        <f t="shared" si="17"/>
        <v>1.6</v>
      </c>
      <c r="J110" s="50" t="s">
        <v>213</v>
      </c>
      <c r="K110" s="268"/>
      <c r="L110" s="13">
        <f ca="1">'Ground floor (Beam &amp; Block)'!H15</f>
        <v>75.015000000000001</v>
      </c>
      <c r="M110" s="51" t="s">
        <v>213</v>
      </c>
      <c r="O110" s="270">
        <f t="shared" ca="1" si="13"/>
        <v>120.024</v>
      </c>
    </row>
    <row r="111" spans="1:15">
      <c r="A111" s="51"/>
      <c r="B111" s="51" t="s">
        <v>449</v>
      </c>
      <c r="C111" s="356"/>
      <c r="D111" s="356"/>
      <c r="E111" s="356"/>
      <c r="F111" s="357">
        <v>1.5</v>
      </c>
      <c r="G111" s="358" t="s">
        <v>213</v>
      </c>
      <c r="H111" s="359">
        <v>0.05</v>
      </c>
      <c r="I111" s="157">
        <f t="shared" si="17"/>
        <v>1.6</v>
      </c>
      <c r="J111" s="50" t="s">
        <v>213</v>
      </c>
      <c r="K111" s="268"/>
      <c r="L111" s="13">
        <f ca="1">'Ground floor (Beam &amp; Block)'!H26</f>
        <v>75.015000000000001</v>
      </c>
      <c r="M111" s="51" t="s">
        <v>213</v>
      </c>
      <c r="O111" s="270">
        <f t="shared" ca="1" si="13"/>
        <v>120.024</v>
      </c>
    </row>
    <row r="112" spans="1:15">
      <c r="A112" s="51"/>
      <c r="B112" s="51" t="s">
        <v>455</v>
      </c>
      <c r="C112" s="356"/>
      <c r="D112" s="356"/>
      <c r="E112" s="356"/>
      <c r="F112" s="357">
        <v>2.5</v>
      </c>
      <c r="G112" s="358" t="s">
        <v>213</v>
      </c>
      <c r="H112" s="359">
        <v>0.05</v>
      </c>
      <c r="I112" s="157">
        <f>ROUNDUP(SUM((F112*H112)+F112),1)</f>
        <v>2.7</v>
      </c>
      <c r="J112" s="50" t="s">
        <v>213</v>
      </c>
      <c r="K112" s="268"/>
      <c r="L112" s="13">
        <f ca="1">'Rainwater Attenuation'!H37</f>
        <v>9.2000000000000011</v>
      </c>
      <c r="M112" s="51" t="s">
        <v>213</v>
      </c>
      <c r="O112" s="270">
        <f ca="1">L112*I112</f>
        <v>24.840000000000003</v>
      </c>
    </row>
    <row r="113" spans="1:15">
      <c r="A113" s="51"/>
      <c r="B113" s="51" t="s">
        <v>930</v>
      </c>
      <c r="C113" s="356"/>
      <c r="D113" s="356"/>
      <c r="E113" s="356"/>
      <c r="F113" s="357">
        <v>2.5</v>
      </c>
      <c r="G113" s="358" t="s">
        <v>39</v>
      </c>
      <c r="H113" s="359">
        <v>0.05</v>
      </c>
      <c r="I113" s="157">
        <f>ROUNDUP(SUM((F113*H113)+F113),1)</f>
        <v>2.7</v>
      </c>
      <c r="J113" s="50" t="s">
        <v>39</v>
      </c>
      <c r="K113" s="268"/>
      <c r="L113" s="13">
        <f>Services!H13</f>
        <v>18</v>
      </c>
      <c r="M113" s="51" t="s">
        <v>39</v>
      </c>
      <c r="O113" s="270">
        <f>L113*I113</f>
        <v>48.6</v>
      </c>
    </row>
    <row r="114" spans="1:15">
      <c r="A114" s="51"/>
      <c r="B114" s="51" t="s">
        <v>931</v>
      </c>
      <c r="C114" s="356"/>
      <c r="D114" s="356"/>
      <c r="E114" s="356"/>
      <c r="F114" s="357">
        <v>3.5</v>
      </c>
      <c r="G114" s="358" t="s">
        <v>39</v>
      </c>
      <c r="H114" s="359">
        <v>0.05</v>
      </c>
      <c r="I114" s="157">
        <f>ROUNDUP(SUM((F114*H114)+F114),1)</f>
        <v>3.7</v>
      </c>
      <c r="J114" s="50" t="s">
        <v>39</v>
      </c>
      <c r="K114" s="268"/>
      <c r="L114" s="13">
        <f>Services!H17</f>
        <v>19.5</v>
      </c>
      <c r="M114" s="51" t="s">
        <v>39</v>
      </c>
      <c r="O114" s="270">
        <f>L114*I114</f>
        <v>72.150000000000006</v>
      </c>
    </row>
    <row r="115" spans="1:15">
      <c r="A115" s="51"/>
      <c r="B115" s="51" t="s">
        <v>929</v>
      </c>
      <c r="C115" s="356"/>
      <c r="D115" s="356"/>
      <c r="E115" s="356"/>
      <c r="F115" s="357">
        <v>650</v>
      </c>
      <c r="G115" s="358" t="s">
        <v>11</v>
      </c>
      <c r="H115" s="359">
        <v>0</v>
      </c>
      <c r="I115" s="157">
        <f>F115</f>
        <v>650</v>
      </c>
      <c r="J115" s="50" t="s">
        <v>11</v>
      </c>
      <c r="K115" s="268"/>
      <c r="L115" s="13">
        <f>Services!H55</f>
        <v>1</v>
      </c>
      <c r="M115" s="51" t="s">
        <v>11</v>
      </c>
      <c r="O115" s="270">
        <f t="shared" ref="O115:O116" si="18">L115*I115</f>
        <v>650</v>
      </c>
    </row>
    <row r="116" spans="1:15">
      <c r="A116" s="51"/>
      <c r="B116" s="126" t="s">
        <v>894</v>
      </c>
      <c r="C116" s="356"/>
      <c r="D116" s="356"/>
      <c r="E116" s="356"/>
      <c r="F116" s="357">
        <f>'M&amp;E'!F7</f>
        <v>2500</v>
      </c>
      <c r="G116" s="358" t="s">
        <v>11</v>
      </c>
      <c r="H116" s="359">
        <v>0</v>
      </c>
      <c r="I116" s="157">
        <f>F116</f>
        <v>2500</v>
      </c>
      <c r="J116" s="50" t="s">
        <v>11</v>
      </c>
      <c r="K116" s="268"/>
      <c r="L116" s="13">
        <f>'M&amp;E'!H7</f>
        <v>1</v>
      </c>
      <c r="M116" s="51" t="s">
        <v>11</v>
      </c>
      <c r="O116" s="270">
        <f t="shared" si="18"/>
        <v>2500</v>
      </c>
    </row>
    <row r="117" spans="1:15">
      <c r="A117" s="126"/>
      <c r="B117" s="126" t="s">
        <v>941</v>
      </c>
      <c r="C117" s="356"/>
      <c r="D117" s="356"/>
      <c r="E117" s="356"/>
      <c r="F117" s="357">
        <f ca="1">'Site set up &amp; demolitions'!F61+('Groundwork (Machine)'!F41*'Groundwork (Machine)'!H41)+('Groundwork (Machine)'!F48*'Groundwork (Machine)'!H48)+('Groundwork (Machine)'!F71*'Groundwork (Machine)'!H71)+('Groundwork (Machine)'!F78*'Groundwork (Machine)'!H78)+('Ground floor (Beam &amp; Block)'!F36*'Ground floor (Beam &amp; Block)'!H36)+('External walls (Brickwork)'!F102*'External walls (Brickwork)'!H102)+('Lintels &amp; steelwork'!F38*'Lintels &amp; steelwork'!H38)</f>
        <v>433.77450000000005</v>
      </c>
      <c r="G117" s="358" t="s">
        <v>11</v>
      </c>
      <c r="H117" s="359">
        <v>0</v>
      </c>
      <c r="I117" s="157">
        <f ca="1">F117</f>
        <v>433.77450000000005</v>
      </c>
      <c r="J117" s="50" t="s">
        <v>11</v>
      </c>
      <c r="K117" s="268"/>
      <c r="L117" s="13">
        <f>'M&amp;E'!H7</f>
        <v>1</v>
      </c>
      <c r="M117" s="51" t="s">
        <v>11</v>
      </c>
      <c r="O117" s="270">
        <f t="shared" ca="1" si="13"/>
        <v>433.77450000000005</v>
      </c>
    </row>
    <row r="118" spans="1:15" ht="15.75" thickBot="1">
      <c r="J118" s="47"/>
      <c r="L118" s="313"/>
      <c r="M118" s="313"/>
      <c r="O118" s="315"/>
    </row>
    <row r="119" spans="1:15" ht="15.75" thickBot="1">
      <c r="J119" s="47"/>
      <c r="L119" s="395" t="s">
        <v>9</v>
      </c>
      <c r="M119" s="396"/>
      <c r="O119" s="259">
        <f ca="1">SUM(O5:O117)</f>
        <v>59506.748380999998</v>
      </c>
    </row>
    <row r="120" spans="1:15">
      <c r="J120" s="47"/>
    </row>
    <row r="121" spans="1:15">
      <c r="J121" s="47"/>
    </row>
    <row r="122" spans="1:15">
      <c r="J122" s="47"/>
    </row>
    <row r="123" spans="1:15">
      <c r="J123" s="47"/>
    </row>
  </sheetData>
  <sheetProtection sheet="1" objects="1" scenarios="1" selectLockedCells="1" selectUnlockedCells="1"/>
  <mergeCells count="71">
    <mergeCell ref="C61:E61"/>
    <mergeCell ref="D52:E52"/>
    <mergeCell ref="D55:E55"/>
    <mergeCell ref="D56:E56"/>
    <mergeCell ref="C57:E57"/>
    <mergeCell ref="C58:E58"/>
    <mergeCell ref="C59:E59"/>
    <mergeCell ref="D54:E54"/>
    <mergeCell ref="C60:E60"/>
    <mergeCell ref="D30:E30"/>
    <mergeCell ref="D31:E31"/>
    <mergeCell ref="D33:E33"/>
    <mergeCell ref="D53:E53"/>
    <mergeCell ref="D32:E32"/>
    <mergeCell ref="D34:E34"/>
    <mergeCell ref="D37:E37"/>
    <mergeCell ref="D35:E35"/>
    <mergeCell ref="D36:E36"/>
    <mergeCell ref="D24:E24"/>
    <mergeCell ref="D25:E25"/>
    <mergeCell ref="D26:E26"/>
    <mergeCell ref="D28:E28"/>
    <mergeCell ref="D29:E29"/>
    <mergeCell ref="D27:E27"/>
    <mergeCell ref="D19:E19"/>
    <mergeCell ref="D20:E20"/>
    <mergeCell ref="D21:E21"/>
    <mergeCell ref="D22:E22"/>
    <mergeCell ref="D23:E23"/>
    <mergeCell ref="D3:E3"/>
    <mergeCell ref="D5:E5"/>
    <mergeCell ref="D6:E6"/>
    <mergeCell ref="D7:E7"/>
    <mergeCell ref="D8:E8"/>
    <mergeCell ref="D17:E17"/>
    <mergeCell ref="D18:E18"/>
    <mergeCell ref="D10:E10"/>
    <mergeCell ref="D11:E11"/>
    <mergeCell ref="D12:E12"/>
    <mergeCell ref="D13:E13"/>
    <mergeCell ref="D75:E75"/>
    <mergeCell ref="D76:E76"/>
    <mergeCell ref="D77:E77"/>
    <mergeCell ref="D80:E80"/>
    <mergeCell ref="C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L119:M119"/>
    <mergeCell ref="D102:E102"/>
    <mergeCell ref="D104:E104"/>
    <mergeCell ref="D9:E9"/>
    <mergeCell ref="D106:E106"/>
    <mergeCell ref="C107:E107"/>
    <mergeCell ref="D97:E97"/>
    <mergeCell ref="D98:E98"/>
    <mergeCell ref="D99:E99"/>
    <mergeCell ref="D100:E100"/>
    <mergeCell ref="D101:E101"/>
    <mergeCell ref="D92:E92"/>
    <mergeCell ref="D93:E93"/>
    <mergeCell ref="D94:E94"/>
    <mergeCell ref="D95:E95"/>
    <mergeCell ref="D96:E96"/>
  </mergeCells>
  <dataValidations count="30">
    <dataValidation type="list" allowBlank="1" showInputMessage="1" showErrorMessage="1" sqref="C10:C13">
      <formula1>BrickType</formula1>
    </dataValidation>
    <dataValidation type="list" allowBlank="1" showInputMessage="1" showErrorMessage="1" sqref="D10:D13">
      <formula1>BrickThickness</formula1>
    </dataValidation>
    <dataValidation type="list" allowBlank="1" showInputMessage="1" showErrorMessage="1" sqref="D5:D9 D53:D56 D62:D68 D14:D32 D38:D51 D33:E33 D34">
      <formula1>INDIRECT($C5)</formula1>
    </dataValidation>
    <dataValidation type="list" allowBlank="1" showInputMessage="1" showErrorMessage="1" sqref="C5:C9">
      <formula1>Aggregate</formula1>
    </dataValidation>
    <dataValidation type="list" allowBlank="1" showInputMessage="1" showErrorMessage="1" sqref="C38:C51">
      <formula1>Insulation</formula1>
    </dataValidation>
    <dataValidation type="list" allowBlank="1" showInputMessage="1" showErrorMessage="1" sqref="E14:E16 E62:E68 E38:E51">
      <formula1>INDIRECT($D14)</formula1>
    </dataValidation>
    <dataValidation type="list" allowBlank="1" showInputMessage="1" showErrorMessage="1" sqref="C53:C56">
      <formula1>SheetMaterial</formula1>
    </dataValidation>
    <dataValidation type="list" allowBlank="1" showInputMessage="1" showErrorMessage="1" sqref="C52">
      <formula1>CavClosers</formula1>
    </dataValidation>
    <dataValidation type="list" allowBlank="1" showInputMessage="1" showErrorMessage="1" sqref="D52:E52">
      <formula1>Thermabate</formula1>
    </dataValidation>
    <dataValidation type="list" allowBlank="1" showInputMessage="1" showErrorMessage="1" sqref="C62:C68">
      <formula1>Lintels</formula1>
    </dataValidation>
    <dataValidation type="list" allowBlank="1" showInputMessage="1" showErrorMessage="1" sqref="C14:C16">
      <formula1>BlockType</formula1>
    </dataValidation>
    <dataValidation type="list" allowBlank="1" showInputMessage="1" showErrorMessage="1" sqref="C105">
      <formula1>CladdingType</formula1>
    </dataValidation>
    <dataValidation type="list" allowBlank="1" showInputMessage="1" showErrorMessage="1" sqref="D105">
      <formula1>INDIRECT($C$105)</formula1>
    </dataValidation>
    <dataValidation type="list" allowBlank="1" showInputMessage="1" showErrorMessage="1" sqref="E105">
      <formula1>INDIRECT($D$105)</formula1>
    </dataValidation>
    <dataValidation type="list" allowBlank="1" showInputMessage="1" showErrorMessage="1" sqref="C33:C34">
      <formula1>FasciasSoffits</formula1>
    </dataValidation>
    <dataValidation type="list" allowBlank="1" showInputMessage="1" showErrorMessage="1" sqref="C35:C37">
      <formula1>TrussTypes</formula1>
    </dataValidation>
    <dataValidation type="list" allowBlank="1" showInputMessage="1" showErrorMessage="1" sqref="C75">
      <formula1>DoorLinings</formula1>
    </dataValidation>
    <dataValidation type="list" allowBlank="1" showInputMessage="1" showErrorMessage="1" sqref="D75:E75">
      <formula1>INDIRECT($C$75)</formula1>
    </dataValidation>
    <dataValidation type="list" allowBlank="1" showInputMessage="1" showErrorMessage="1" sqref="C76">
      <formula1>WindowBoard</formula1>
    </dataValidation>
    <dataValidation type="list" allowBlank="1" showInputMessage="1" showErrorMessage="1" sqref="D76:E76">
      <formula1>INDIRECT($C$76)</formula1>
    </dataValidation>
    <dataValidation type="list" allowBlank="1" showInputMessage="1" showErrorMessage="1" sqref="C77">
      <formula1>Stairs</formula1>
    </dataValidation>
    <dataValidation type="list" allowBlank="1" showInputMessage="1" showErrorMessage="1" sqref="D77:E77">
      <formula1>INDIRECT($C$77)</formula1>
    </dataValidation>
    <dataValidation type="list" allowBlank="1" showInputMessage="1" showErrorMessage="1" sqref="C80">
      <formula1>Architraves</formula1>
    </dataValidation>
    <dataValidation type="list" allowBlank="1" showInputMessage="1" showErrorMessage="1" sqref="D80:E80">
      <formula1>INDIRECT($C$80)</formula1>
    </dataValidation>
    <dataValidation type="list" allowBlank="1" showInputMessage="1" showErrorMessage="1" sqref="C82">
      <formula1>Skirting</formula1>
    </dataValidation>
    <dataValidation type="list" allowBlank="1" showInputMessage="1" showErrorMessage="1" sqref="D82:E82">
      <formula1>INDIRECT($C$82)</formula1>
    </dataValidation>
    <dataValidation type="list" allowBlank="1" showInputMessage="1" showErrorMessage="1" sqref="C83:C84">
      <formula1>Tiles</formula1>
    </dataValidation>
    <dataValidation type="list" allowBlank="1" showInputMessage="1" showErrorMessage="1" sqref="C85:C92">
      <formula1>Gutter</formula1>
    </dataValidation>
    <dataValidation type="list" allowBlank="1" showInputMessage="1" showErrorMessage="1" sqref="D85:E92">
      <formula1>INDIRECT($C$85)</formula1>
    </dataValidation>
    <dataValidation type="list" allowBlank="1" showInputMessage="1" showErrorMessage="1" sqref="C17:C32">
      <formula1>TimberType</formula1>
    </dataValidation>
  </dataValidations>
  <pageMargins left="0.7" right="0.7" top="0.75" bottom="0.75" header="0.3" footer="0.3"/>
  <pageSetup paperSize="9" scale="80" orientation="landscape" horizontalDpi="4294967293" r:id="rId1"/>
  <headerFooter>
    <oddHeader>&amp;LBES: 07015&amp;R&amp;F</oddHeader>
    <oddFooter>&amp;L&amp;G B.E.S. Ltd&amp;C&amp;P of &amp;N&amp;R&amp;A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K62"/>
  <sheetViews>
    <sheetView view="pageLayout" topLeftCell="A25" workbookViewId="0">
      <selection activeCell="A57" sqref="A57:XFD57"/>
    </sheetView>
  </sheetViews>
  <sheetFormatPr defaultRowHeight="15"/>
  <cols>
    <col min="1" max="1" width="10.5703125" style="29" customWidth="1"/>
    <col min="2" max="2" width="10.5703125" style="13" customWidth="1"/>
    <col min="3" max="3" width="10.5703125" style="69" customWidth="1"/>
    <col min="4" max="4" width="9.28515625" style="9" bestFit="1" customWidth="1"/>
    <col min="5" max="5" width="9.28515625" style="16" customWidth="1"/>
    <col min="6" max="6" width="9.28515625" style="16" bestFit="1" customWidth="1"/>
    <col min="7" max="7" width="9.28515625" style="16" customWidth="1"/>
    <col min="8" max="8" width="10.5703125" style="13" customWidth="1"/>
    <col min="9" max="9" width="5.140625" style="51" customWidth="1"/>
    <col min="10" max="10" width="10.5703125" style="4" customWidth="1"/>
    <col min="11" max="11" width="10.5703125" style="11" customWidth="1"/>
  </cols>
  <sheetData>
    <row r="1" spans="1:11" ht="31.5">
      <c r="A1" s="407" t="s">
        <v>910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</row>
    <row r="2" spans="1:11">
      <c r="A2" s="111" t="s">
        <v>53</v>
      </c>
      <c r="B2" s="60"/>
      <c r="D2" s="53"/>
      <c r="H2" s="46"/>
      <c r="I2" s="47"/>
      <c r="J2" s="47"/>
      <c r="K2" s="61"/>
    </row>
    <row r="3" spans="1:11" s="1" customFormat="1">
      <c r="A3" s="412" t="s">
        <v>0</v>
      </c>
      <c r="B3" s="411" t="s">
        <v>1</v>
      </c>
      <c r="C3" s="412"/>
      <c r="D3" s="415" t="s">
        <v>2</v>
      </c>
      <c r="E3" s="411"/>
      <c r="F3" s="411"/>
      <c r="G3" s="411"/>
      <c r="H3" s="411" t="s">
        <v>6</v>
      </c>
      <c r="I3" s="413" t="s">
        <v>7</v>
      </c>
      <c r="J3" s="414" t="s">
        <v>8</v>
      </c>
      <c r="K3" s="410" t="s">
        <v>9</v>
      </c>
    </row>
    <row r="4" spans="1:11" s="6" customFormat="1">
      <c r="A4" s="412"/>
      <c r="B4" s="411"/>
      <c r="C4" s="412"/>
      <c r="D4" s="77" t="s">
        <v>3</v>
      </c>
      <c r="E4" s="76" t="s">
        <v>4</v>
      </c>
      <c r="F4" s="76" t="s">
        <v>5</v>
      </c>
      <c r="G4" s="78" t="s">
        <v>45</v>
      </c>
      <c r="H4" s="411"/>
      <c r="I4" s="413"/>
      <c r="J4" s="414"/>
      <c r="K4" s="410"/>
    </row>
    <row r="5" spans="1:11">
      <c r="A5" s="3"/>
      <c r="B5" s="5"/>
      <c r="C5" s="24"/>
      <c r="D5" s="8"/>
      <c r="E5" s="12"/>
      <c r="F5" s="12"/>
      <c r="G5" s="12"/>
      <c r="H5" s="5"/>
      <c r="I5" s="70"/>
      <c r="J5" s="3"/>
      <c r="K5" s="10"/>
    </row>
    <row r="6" spans="1:11" ht="15" customHeight="1" thickBot="1">
      <c r="A6" s="3"/>
      <c r="B6" s="5"/>
      <c r="C6" s="24"/>
      <c r="D6" s="408" t="s">
        <v>10</v>
      </c>
      <c r="E6" s="409"/>
      <c r="F6" s="409"/>
      <c r="G6" s="409"/>
      <c r="H6" s="5"/>
      <c r="I6" s="70"/>
      <c r="J6" s="2"/>
      <c r="K6" s="10"/>
    </row>
    <row r="7" spans="1:11" ht="15.75" thickBot="1">
      <c r="A7" s="3"/>
      <c r="B7" s="41" t="s">
        <v>11</v>
      </c>
      <c r="C7" s="122" t="s">
        <v>12</v>
      </c>
      <c r="D7" s="36">
        <v>100</v>
      </c>
      <c r="E7" s="31">
        <v>0</v>
      </c>
      <c r="F7" s="31">
        <v>100</v>
      </c>
      <c r="G7" s="31">
        <v>0</v>
      </c>
      <c r="H7" s="25">
        <v>1</v>
      </c>
      <c r="I7" s="30" t="s">
        <v>44</v>
      </c>
      <c r="J7" s="41">
        <f>SUM(D7:G7)</f>
        <v>200</v>
      </c>
      <c r="K7" s="42">
        <f>SUM(J7*H7)</f>
        <v>200</v>
      </c>
    </row>
    <row r="8" spans="1:11">
      <c r="A8" s="3"/>
      <c r="B8" s="5"/>
      <c r="C8" s="24"/>
      <c r="D8" s="8"/>
      <c r="E8" s="12"/>
      <c r="F8" s="12"/>
      <c r="G8" s="12"/>
      <c r="H8" s="5"/>
      <c r="I8" s="70"/>
      <c r="J8" s="2"/>
      <c r="K8" s="10"/>
    </row>
    <row r="9" spans="1:11">
      <c r="A9" s="3"/>
      <c r="B9" s="5"/>
      <c r="C9" s="24"/>
      <c r="D9" s="8"/>
      <c r="E9" s="12"/>
      <c r="F9" s="12"/>
      <c r="G9" s="12"/>
      <c r="H9" s="5"/>
      <c r="I9" s="70"/>
      <c r="J9" s="2"/>
      <c r="K9" s="10"/>
    </row>
    <row r="10" spans="1:11" ht="15" customHeight="1"/>
    <row r="16" spans="1:11" ht="15" customHeight="1"/>
    <row r="18" ht="15.75" customHeight="1"/>
    <row r="22" ht="15" customHeight="1"/>
    <row r="26" ht="15.75" customHeight="1"/>
    <row r="27" ht="15" customHeight="1"/>
    <row r="30" ht="15" customHeight="1"/>
    <row r="39" ht="15" customHeight="1"/>
    <row r="44" ht="15" customHeight="1"/>
    <row r="49" spans="2:11" ht="15" customHeight="1"/>
    <row r="51" spans="2:11">
      <c r="C51" s="204"/>
      <c r="E51" s="195"/>
      <c r="F51" s="195"/>
      <c r="G51" s="195"/>
    </row>
    <row r="52" spans="2:11" ht="15" customHeight="1">
      <c r="C52" s="204"/>
      <c r="E52" s="195"/>
      <c r="F52" s="195"/>
      <c r="G52" s="195"/>
    </row>
    <row r="53" spans="2:11" ht="15" customHeight="1">
      <c r="C53" s="204"/>
      <c r="E53" s="195"/>
      <c r="F53" s="195"/>
      <c r="G53" s="195"/>
    </row>
    <row r="60" spans="2:11" ht="15.75" thickBot="1"/>
    <row r="61" spans="2:11" ht="17.25" thickTop="1" thickBot="1">
      <c r="B61" s="405" t="s">
        <v>47</v>
      </c>
      <c r="C61" s="406"/>
      <c r="D61" s="72">
        <f>SUMPRODUCT(D1:D57,$H1:$H57)</f>
        <v>100</v>
      </c>
      <c r="E61" s="72">
        <f>SUMPRODUCT(E1:E57,$H1:$H57)</f>
        <v>0</v>
      </c>
      <c r="F61" s="72">
        <f>SUMPRODUCT(F1:F57,$H1:$H57)</f>
        <v>100</v>
      </c>
      <c r="G61" s="72">
        <f>SUMPRODUCT(G1:G57,$H1:$H57)</f>
        <v>0</v>
      </c>
      <c r="H61" s="57">
        <f>SUM(D61:G61)</f>
        <v>200</v>
      </c>
      <c r="I61" s="54"/>
      <c r="J61" s="54"/>
      <c r="K61" s="56">
        <f>SUM(K1:K57)</f>
        <v>200</v>
      </c>
    </row>
    <row r="62" spans="2:11">
      <c r="K62" s="58" t="str">
        <f>IF((H61+J61)=K61,"Correct")</f>
        <v>Correct</v>
      </c>
    </row>
  </sheetData>
  <sheetProtection sheet="1" objects="1" scenarios="1" selectLockedCells="1" selectUnlockedCells="1"/>
  <mergeCells count="10">
    <mergeCell ref="B61:C61"/>
    <mergeCell ref="A1:K1"/>
    <mergeCell ref="D6:G6"/>
    <mergeCell ref="K3:K4"/>
    <mergeCell ref="B3:C4"/>
    <mergeCell ref="A3:A4"/>
    <mergeCell ref="H3:H4"/>
    <mergeCell ref="I3:I4"/>
    <mergeCell ref="J3:J4"/>
    <mergeCell ref="D3:G3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 Ltd&amp;C&amp;P of &amp;N&amp;R&amp;A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K126"/>
  <sheetViews>
    <sheetView view="pageLayout" workbookViewId="0">
      <selection activeCell="A18" sqref="A18"/>
    </sheetView>
  </sheetViews>
  <sheetFormatPr defaultRowHeight="15"/>
  <cols>
    <col min="1" max="2" width="10.5703125" style="29" customWidth="1"/>
    <col min="3" max="3" width="10.5703125" style="14" customWidth="1"/>
    <col min="4" max="4" width="9.28515625" style="9" bestFit="1" customWidth="1"/>
    <col min="5" max="5" width="9.28515625" style="16" customWidth="1"/>
    <col min="6" max="6" width="9.28515625" style="16" bestFit="1" customWidth="1"/>
    <col min="7" max="7" width="9.28515625" style="17" customWidth="1"/>
    <col min="8" max="8" width="10.5703125" style="4" customWidth="1"/>
    <col min="9" max="9" width="5.140625" style="4" customWidth="1"/>
    <col min="10" max="10" width="10.5703125" style="4" customWidth="1"/>
    <col min="11" max="11" width="11.28515625" style="11" customWidth="1"/>
  </cols>
  <sheetData>
    <row r="1" spans="1:11">
      <c r="A1" s="111" t="s">
        <v>266</v>
      </c>
      <c r="B1" s="46"/>
      <c r="C1" s="45"/>
      <c r="D1" s="205"/>
      <c r="E1" s="83"/>
      <c r="F1" s="83"/>
      <c r="G1" s="83"/>
      <c r="H1" s="106"/>
      <c r="I1" s="106"/>
      <c r="J1" s="106"/>
      <c r="K1" s="61"/>
    </row>
    <row r="2" spans="1:11" s="1" customFormat="1">
      <c r="A2" s="421" t="s">
        <v>0</v>
      </c>
      <c r="B2" s="421" t="s">
        <v>1</v>
      </c>
      <c r="C2" s="425"/>
      <c r="D2" s="432" t="s">
        <v>2</v>
      </c>
      <c r="E2" s="425"/>
      <c r="F2" s="425"/>
      <c r="G2" s="433"/>
      <c r="H2" s="423" t="s">
        <v>6</v>
      </c>
      <c r="I2" s="423" t="s">
        <v>7</v>
      </c>
      <c r="J2" s="430" t="s">
        <v>8</v>
      </c>
      <c r="K2" s="434" t="s">
        <v>9</v>
      </c>
    </row>
    <row r="3" spans="1:11" s="6" customFormat="1">
      <c r="A3" s="422"/>
      <c r="B3" s="422"/>
      <c r="C3" s="426"/>
      <c r="D3" s="7" t="s">
        <v>3</v>
      </c>
      <c r="E3" s="40" t="s">
        <v>4</v>
      </c>
      <c r="F3" s="40" t="s">
        <v>5</v>
      </c>
      <c r="G3" s="18" t="s">
        <v>45</v>
      </c>
      <c r="H3" s="424"/>
      <c r="I3" s="424"/>
      <c r="J3" s="431"/>
      <c r="K3" s="435"/>
    </row>
    <row r="4" spans="1:11">
      <c r="A4" s="3"/>
      <c r="B4" s="41"/>
      <c r="C4" s="26"/>
      <c r="D4" s="8"/>
      <c r="E4" s="12"/>
      <c r="F4" s="12"/>
      <c r="G4" s="15"/>
      <c r="H4" s="2"/>
      <c r="I4" s="2"/>
      <c r="J4" s="2"/>
      <c r="K4" s="10"/>
    </row>
    <row r="5" spans="1:11">
      <c r="A5" s="41">
        <v>1</v>
      </c>
      <c r="B5" s="41">
        <v>9.15</v>
      </c>
      <c r="C5" s="427">
        <f>A5*(B5*B6)</f>
        <v>58.56</v>
      </c>
      <c r="D5" s="408" t="s">
        <v>238</v>
      </c>
      <c r="E5" s="409"/>
      <c r="F5" s="409"/>
      <c r="G5" s="409"/>
      <c r="H5" s="2"/>
      <c r="I5" s="2"/>
      <c r="J5" s="2"/>
      <c r="K5" s="10"/>
    </row>
    <row r="6" spans="1:11" ht="17.25">
      <c r="A6" s="41"/>
      <c r="B6" s="41">
        <v>6.4</v>
      </c>
      <c r="C6" s="428"/>
      <c r="D6" s="36">
        <f>'Labour Analysis'!B24*0.012</f>
        <v>3.0720000000000001</v>
      </c>
      <c r="E6" s="31">
        <v>0</v>
      </c>
      <c r="F6" s="31">
        <v>0</v>
      </c>
      <c r="G6" s="31">
        <v>0</v>
      </c>
      <c r="H6" s="25">
        <f ca="1">$C15</f>
        <v>98.692499999999995</v>
      </c>
      <c r="I6" s="30" t="s">
        <v>13</v>
      </c>
      <c r="J6" s="41">
        <f>SUM(D6:G6)</f>
        <v>3.0720000000000001</v>
      </c>
      <c r="K6" s="42">
        <f ca="1">SUM(H6*J6)</f>
        <v>303.18335999999999</v>
      </c>
    </row>
    <row r="7" spans="1:11">
      <c r="A7" s="41">
        <v>1</v>
      </c>
      <c r="B7" s="41">
        <v>3</v>
      </c>
      <c r="C7" s="427">
        <f>A7*(B7*B8)</f>
        <v>12.299999999999999</v>
      </c>
      <c r="D7" s="206"/>
      <c r="E7" s="12"/>
      <c r="F7" s="12"/>
      <c r="G7" s="15"/>
      <c r="H7" s="2"/>
      <c r="I7" s="2"/>
      <c r="J7" s="2"/>
      <c r="K7" s="10"/>
    </row>
    <row r="8" spans="1:11">
      <c r="A8" s="41"/>
      <c r="B8" s="41">
        <v>4.0999999999999996</v>
      </c>
      <c r="C8" s="428"/>
      <c r="D8" s="8"/>
      <c r="E8" s="429" t="s">
        <v>37</v>
      </c>
      <c r="F8" s="429"/>
      <c r="G8" s="15"/>
      <c r="H8" s="2"/>
      <c r="I8" s="2"/>
      <c r="J8" s="2"/>
      <c r="K8" s="10"/>
    </row>
    <row r="9" spans="1:11">
      <c r="A9" s="41">
        <v>1</v>
      </c>
      <c r="B9" s="41">
        <v>5.45</v>
      </c>
      <c r="C9" s="427">
        <f>A9*(B9*B10)</f>
        <v>26.432499999999997</v>
      </c>
      <c r="D9" s="408" t="s">
        <v>14</v>
      </c>
      <c r="E9" s="409"/>
      <c r="F9" s="409"/>
      <c r="G9" s="409"/>
      <c r="H9" s="2"/>
      <c r="I9" s="2"/>
      <c r="J9" s="2"/>
      <c r="K9" s="10"/>
    </row>
    <row r="10" spans="1:11">
      <c r="A10" s="41"/>
      <c r="B10" s="41">
        <v>4.8499999999999996</v>
      </c>
      <c r="C10" s="428"/>
      <c r="D10" s="37"/>
      <c r="E10" s="32" t="s">
        <v>17</v>
      </c>
      <c r="F10" s="35" t="s">
        <v>241</v>
      </c>
      <c r="G10" s="34"/>
      <c r="H10" s="2"/>
      <c r="I10" s="2"/>
      <c r="J10" s="2"/>
      <c r="K10" s="10"/>
    </row>
    <row r="11" spans="1:11">
      <c r="A11" s="41">
        <v>1</v>
      </c>
      <c r="B11" s="41">
        <v>0.45</v>
      </c>
      <c r="C11" s="427">
        <f>A11*(B11*B12)</f>
        <v>0.45</v>
      </c>
      <c r="D11" s="38"/>
      <c r="E11" s="33">
        <v>490</v>
      </c>
      <c r="F11" s="34">
        <f ca="1">SUM(C15*(E11/1000))</f>
        <v>48.359324999999998</v>
      </c>
      <c r="G11" s="34"/>
      <c r="H11" s="2"/>
      <c r="I11" s="2"/>
      <c r="J11" s="2"/>
      <c r="K11" s="10"/>
    </row>
    <row r="12" spans="1:11" ht="17.25">
      <c r="A12" s="41"/>
      <c r="B12" s="41">
        <v>1</v>
      </c>
      <c r="C12" s="428"/>
      <c r="D12" s="36">
        <f ca="1">SUM(((H12/'Plant Analysis'!B19)*'Labour Analysis'!E22)/H12)</f>
        <v>3.625</v>
      </c>
      <c r="E12" s="31">
        <f ca="1">SUM(((H12/'Plant Analysis'!B19)*'Plant Analysis'!E18)/H12)</f>
        <v>6.25</v>
      </c>
      <c r="F12" s="31">
        <v>0</v>
      </c>
      <c r="G12" s="31">
        <v>0</v>
      </c>
      <c r="H12" s="25">
        <f ca="1">$F11</f>
        <v>48.359324999999998</v>
      </c>
      <c r="I12" s="30" t="s">
        <v>19</v>
      </c>
      <c r="J12" s="41">
        <f ca="1">SUM(D12:G12)</f>
        <v>9.875</v>
      </c>
      <c r="K12" s="42">
        <f ca="1">SUM(H12*J12)</f>
        <v>477.54833437499997</v>
      </c>
    </row>
    <row r="13" spans="1:11">
      <c r="A13" s="41">
        <v>1</v>
      </c>
      <c r="B13" s="41">
        <v>1.9</v>
      </c>
      <c r="C13" s="427">
        <f>A13*(B13*B14)</f>
        <v>0.95</v>
      </c>
      <c r="D13" s="8"/>
      <c r="E13" s="12"/>
      <c r="F13" s="12"/>
      <c r="G13" s="15"/>
      <c r="H13" s="2"/>
      <c r="I13" s="2"/>
      <c r="J13" s="2"/>
      <c r="K13" s="10"/>
    </row>
    <row r="14" spans="1:11" ht="15.75" thickBot="1">
      <c r="A14" s="41"/>
      <c r="B14" s="41">
        <v>0.5</v>
      </c>
      <c r="C14" s="428"/>
      <c r="D14" s="8"/>
      <c r="E14" s="429" t="s">
        <v>37</v>
      </c>
      <c r="F14" s="429"/>
      <c r="G14" s="15"/>
      <c r="H14" s="2"/>
      <c r="I14" s="2"/>
      <c r="J14" s="2"/>
      <c r="K14" s="10"/>
    </row>
    <row r="15" spans="1:11" ht="15.75" thickBot="1">
      <c r="A15" s="3"/>
      <c r="B15" s="3"/>
      <c r="C15" s="121">
        <f ca="1">SUM(C5:(OFFSET(C15,-1,0)))</f>
        <v>98.692499999999995</v>
      </c>
      <c r="D15" s="408" t="s">
        <v>20</v>
      </c>
      <c r="E15" s="409"/>
      <c r="F15" s="409"/>
      <c r="G15" s="409"/>
      <c r="H15" s="2"/>
      <c r="I15" s="2"/>
      <c r="J15" s="2"/>
      <c r="K15" s="10"/>
    </row>
    <row r="16" spans="1:11">
      <c r="A16" s="3"/>
      <c r="B16" s="3"/>
      <c r="C16" s="28"/>
      <c r="D16" s="37"/>
      <c r="E16" s="32" t="s">
        <v>17</v>
      </c>
      <c r="F16" s="35" t="s">
        <v>241</v>
      </c>
      <c r="G16" s="34"/>
      <c r="H16" s="2"/>
      <c r="I16" s="2"/>
      <c r="J16" s="2"/>
      <c r="K16" s="10"/>
    </row>
    <row r="17" spans="1:11">
      <c r="A17" s="3"/>
      <c r="B17" s="3"/>
      <c r="C17" s="3"/>
      <c r="D17" s="38"/>
      <c r="E17" s="33">
        <f>E11</f>
        <v>490</v>
      </c>
      <c r="F17" s="34">
        <f ca="1">SUM($C15*(E17/1000))</f>
        <v>48.359324999999998</v>
      </c>
      <c r="G17" s="34"/>
      <c r="H17" s="2"/>
      <c r="I17" s="2"/>
      <c r="J17" s="2"/>
      <c r="K17" s="10"/>
    </row>
    <row r="18" spans="1:11" ht="17.25">
      <c r="A18" s="3"/>
      <c r="B18" s="3"/>
      <c r="C18" s="3"/>
      <c r="D18" s="36">
        <v>0</v>
      </c>
      <c r="E18" s="31">
        <f ca="1">SUM((((H18*1.6)/'Plant Analysis'!B33)*'Plant Analysis'!B32)/H18)</f>
        <v>24.000000000000004</v>
      </c>
      <c r="F18" s="31">
        <v>0</v>
      </c>
      <c r="G18" s="31">
        <v>0</v>
      </c>
      <c r="H18" s="25">
        <f ca="1">$F17</f>
        <v>48.359324999999998</v>
      </c>
      <c r="I18" s="30" t="s">
        <v>19</v>
      </c>
      <c r="J18" s="41">
        <f ca="1">SUM(D18:G18)</f>
        <v>24.000000000000004</v>
      </c>
      <c r="K18" s="42">
        <f ca="1">SUM(H18*J18)</f>
        <v>1160.6238000000001</v>
      </c>
    </row>
    <row r="21" spans="1:11" ht="15" customHeight="1">
      <c r="A21" s="59">
        <v>2</v>
      </c>
      <c r="B21" s="59">
        <v>11.55</v>
      </c>
      <c r="C21" s="26">
        <f>A21*B21</f>
        <v>23.1</v>
      </c>
      <c r="D21" s="418" t="s">
        <v>15</v>
      </c>
      <c r="E21" s="419"/>
      <c r="F21" s="419"/>
      <c r="G21" s="419"/>
      <c r="H21" s="2"/>
      <c r="I21" s="2"/>
      <c r="J21" s="2"/>
      <c r="K21" s="10"/>
    </row>
    <row r="22" spans="1:11" ht="15.75" thickBot="1">
      <c r="A22" s="59">
        <v>2</v>
      </c>
      <c r="B22" s="59">
        <v>11</v>
      </c>
      <c r="C22" s="26">
        <f>A22*B22</f>
        <v>22</v>
      </c>
      <c r="D22" s="418"/>
      <c r="E22" s="419"/>
      <c r="F22" s="419"/>
      <c r="G22" s="419"/>
      <c r="H22" s="2"/>
      <c r="I22" s="2"/>
      <c r="J22" s="2"/>
      <c r="K22" s="10"/>
    </row>
    <row r="23" spans="1:11" ht="15.75" thickBot="1">
      <c r="A23" s="55"/>
      <c r="B23" s="179"/>
      <c r="C23" s="121">
        <f ca="1">SUM(C21:(OFFSET(C23,-1,0)))</f>
        <v>45.1</v>
      </c>
      <c r="D23" s="37"/>
      <c r="E23" s="32" t="s">
        <v>16</v>
      </c>
      <c r="F23" s="32" t="s">
        <v>17</v>
      </c>
      <c r="G23" s="32" t="s">
        <v>18</v>
      </c>
      <c r="H23" s="2"/>
      <c r="I23" s="2"/>
      <c r="J23" s="2"/>
      <c r="K23" s="10"/>
    </row>
    <row r="24" spans="1:11">
      <c r="A24" s="3"/>
      <c r="B24" s="3"/>
      <c r="C24" s="28"/>
      <c r="D24" s="38"/>
      <c r="E24" s="33">
        <v>600</v>
      </c>
      <c r="F24" s="33">
        <v>1010</v>
      </c>
      <c r="G24" s="33">
        <f ca="1">$C23*(E24/1000)*(F24/1000)</f>
        <v>27.3306</v>
      </c>
      <c r="H24" s="2"/>
      <c r="I24" s="2"/>
      <c r="J24" s="2"/>
      <c r="K24" s="10"/>
    </row>
    <row r="25" spans="1:11" ht="17.25">
      <c r="D25" s="36">
        <f ca="1">SUM(((H25/'Plant Analysis'!$B$20)*'Labour Analysis'!$E$22)/H25)</f>
        <v>4.8333333333333339</v>
      </c>
      <c r="E25" s="31">
        <f ca="1">SUM(((H25/'Plant Analysis'!$B$20)*'Plant Analysis'!$E$18)/H25)</f>
        <v>8.3333333333333339</v>
      </c>
      <c r="F25" s="31">
        <v>0</v>
      </c>
      <c r="G25" s="31">
        <v>0</v>
      </c>
      <c r="H25" s="25">
        <f ca="1">$G24</f>
        <v>27.3306</v>
      </c>
      <c r="I25" s="30" t="s">
        <v>19</v>
      </c>
      <c r="J25" s="41">
        <f ca="1">SUM(D25:G25)</f>
        <v>13.166666666666668</v>
      </c>
      <c r="K25" s="42">
        <f ca="1">SUM(H25*J25)</f>
        <v>359.85290000000003</v>
      </c>
    </row>
    <row r="27" spans="1:11">
      <c r="E27" s="420" t="s">
        <v>37</v>
      </c>
      <c r="F27" s="420"/>
    </row>
    <row r="28" spans="1:11">
      <c r="D28" s="416" t="s">
        <v>20</v>
      </c>
      <c r="E28" s="417"/>
      <c r="F28" s="417"/>
      <c r="G28" s="417"/>
    </row>
    <row r="29" spans="1:11" ht="17.25">
      <c r="D29" s="39">
        <v>0</v>
      </c>
      <c r="E29" s="31">
        <f ca="1">SUM((((H29*1.6)/'Plant Analysis'!$B$33)*'Plant Analysis'!$B$32)/H29)</f>
        <v>24</v>
      </c>
      <c r="F29" s="34">
        <v>0</v>
      </c>
      <c r="G29" s="34">
        <v>0</v>
      </c>
      <c r="H29" s="25">
        <f ca="1">$H25</f>
        <v>27.3306</v>
      </c>
      <c r="I29" s="30" t="s">
        <v>19</v>
      </c>
      <c r="J29" s="41">
        <f ca="1">SUM(D29:G29)</f>
        <v>24</v>
      </c>
      <c r="K29" s="42">
        <f ca="1">SUM(H29*J29)</f>
        <v>655.93439999999998</v>
      </c>
    </row>
    <row r="31" spans="1:11">
      <c r="E31" s="420" t="s">
        <v>37</v>
      </c>
      <c r="F31" s="420"/>
    </row>
    <row r="32" spans="1:11">
      <c r="D32" s="416" t="s">
        <v>21</v>
      </c>
      <c r="E32" s="417"/>
      <c r="F32" s="417"/>
      <c r="G32" s="417"/>
    </row>
    <row r="33" spans="4:11">
      <c r="D33" s="37"/>
      <c r="E33" s="32" t="s">
        <v>16</v>
      </c>
      <c r="F33" s="32" t="s">
        <v>17</v>
      </c>
      <c r="G33" s="32" t="s">
        <v>18</v>
      </c>
      <c r="H33" s="2"/>
      <c r="I33" s="2"/>
      <c r="J33" s="2"/>
      <c r="K33" s="10"/>
    </row>
    <row r="34" spans="4:11">
      <c r="D34" s="38"/>
      <c r="E34" s="33">
        <f>E24</f>
        <v>600</v>
      </c>
      <c r="F34" s="33">
        <v>975</v>
      </c>
      <c r="G34" s="33">
        <f ca="1">$C23*(E34/1000)*(F34/1000)</f>
        <v>26.383499999999998</v>
      </c>
      <c r="H34" s="2"/>
      <c r="I34" s="2"/>
      <c r="J34" s="2"/>
      <c r="K34" s="10"/>
    </row>
    <row r="35" spans="4:11" ht="17.25">
      <c r="D35" s="36">
        <f>'Labour Analysis'!$E$24*0.5</f>
        <v>16</v>
      </c>
      <c r="E35" s="31">
        <v>0</v>
      </c>
      <c r="F35" s="31">
        <f ca="1">'Material Analysis'!I7</f>
        <v>84</v>
      </c>
      <c r="G35" s="31">
        <v>0</v>
      </c>
      <c r="H35" s="25">
        <f ca="1">$G34</f>
        <v>26.383499999999998</v>
      </c>
      <c r="I35" s="30" t="s">
        <v>19</v>
      </c>
      <c r="J35" s="41">
        <f ca="1">SUM(D35:G35)</f>
        <v>100</v>
      </c>
      <c r="K35" s="42">
        <f ca="1">SUM(H35*J35)</f>
        <v>2638.35</v>
      </c>
    </row>
    <row r="37" spans="4:11">
      <c r="E37" s="420" t="s">
        <v>37</v>
      </c>
      <c r="F37" s="420"/>
    </row>
    <row r="38" spans="4:11">
      <c r="D38" s="416" t="s">
        <v>22</v>
      </c>
      <c r="E38" s="417"/>
      <c r="F38" s="417"/>
      <c r="G38" s="417"/>
    </row>
    <row r="39" spans="4:11">
      <c r="D39" s="37"/>
      <c r="E39" s="32" t="s">
        <v>16</v>
      </c>
      <c r="F39" s="35" t="s">
        <v>23</v>
      </c>
      <c r="G39" s="34"/>
    </row>
    <row r="40" spans="4:11">
      <c r="D40" s="38"/>
      <c r="E40" s="33">
        <f>E24</f>
        <v>600</v>
      </c>
      <c r="F40" s="34">
        <f ca="1">SUM($C23*(E40/1000))</f>
        <v>27.06</v>
      </c>
      <c r="G40" s="34"/>
    </row>
    <row r="41" spans="4:11" ht="17.25">
      <c r="D41" s="39">
        <f>'Labour Analysis'!$E$22*0.05</f>
        <v>0.72500000000000009</v>
      </c>
      <c r="E41" s="34">
        <v>0</v>
      </c>
      <c r="F41" s="34">
        <v>0.25</v>
      </c>
      <c r="G41" s="34">
        <v>0</v>
      </c>
      <c r="H41" s="25">
        <f ca="1">$F40</f>
        <v>27.06</v>
      </c>
      <c r="I41" s="30" t="s">
        <v>13</v>
      </c>
      <c r="J41" s="41">
        <f>SUM(D41:G41)</f>
        <v>0.97500000000000009</v>
      </c>
      <c r="K41" s="42">
        <f ca="1">SUM(H41*J41)</f>
        <v>26.383500000000002</v>
      </c>
    </row>
    <row r="43" spans="4:11">
      <c r="E43" s="420" t="s">
        <v>37</v>
      </c>
      <c r="F43" s="420"/>
    </row>
    <row r="44" spans="4:11">
      <c r="D44" s="408" t="s">
        <v>24</v>
      </c>
      <c r="E44" s="409"/>
      <c r="F44" s="409"/>
      <c r="G44" s="409"/>
    </row>
    <row r="45" spans="4:11">
      <c r="D45" s="408"/>
      <c r="E45" s="409"/>
      <c r="F45" s="409"/>
      <c r="G45" s="409"/>
    </row>
    <row r="46" spans="4:11">
      <c r="D46" s="37"/>
      <c r="E46" s="32" t="s">
        <v>17</v>
      </c>
      <c r="F46" s="32" t="s">
        <v>25</v>
      </c>
      <c r="G46" s="32" t="s">
        <v>23</v>
      </c>
    </row>
    <row r="47" spans="4:11" ht="15" customHeight="1">
      <c r="D47" s="38"/>
      <c r="E47" s="33">
        <f>F24</f>
        <v>1010</v>
      </c>
      <c r="F47" s="33">
        <v>2</v>
      </c>
      <c r="G47" s="33">
        <f ca="1">$C23*(E47/1000)*(F47)</f>
        <v>91.102000000000004</v>
      </c>
    </row>
    <row r="48" spans="4:11" ht="15" customHeight="1">
      <c r="D48" s="39">
        <f>'Labour Analysis'!$E$22*0.07</f>
        <v>1.0150000000000001</v>
      </c>
      <c r="E48" s="34">
        <v>0</v>
      </c>
      <c r="F48" s="34">
        <v>1</v>
      </c>
      <c r="G48" s="34">
        <v>0</v>
      </c>
      <c r="H48" s="25">
        <f ca="1">$G47</f>
        <v>91.102000000000004</v>
      </c>
      <c r="I48" s="30" t="s">
        <v>13</v>
      </c>
      <c r="J48" s="41">
        <f>SUM(D48:G48)</f>
        <v>2.0150000000000001</v>
      </c>
      <c r="K48" s="42">
        <f ca="1">SUM(H48*J48)</f>
        <v>183.57053000000002</v>
      </c>
    </row>
    <row r="49" spans="1:11" ht="15" customHeight="1">
      <c r="H49" s="3"/>
      <c r="I49" s="2"/>
      <c r="J49" s="3"/>
      <c r="K49" s="10"/>
    </row>
    <row r="50" spans="1:11">
      <c r="E50" s="233"/>
      <c r="F50" s="233"/>
    </row>
    <row r="51" spans="1:11">
      <c r="A51" s="59">
        <v>2</v>
      </c>
      <c r="B51" s="59">
        <v>5.7</v>
      </c>
      <c r="C51" s="310">
        <f>A51*B51</f>
        <v>11.4</v>
      </c>
      <c r="D51" s="418" t="s">
        <v>869</v>
      </c>
      <c r="E51" s="419"/>
      <c r="F51" s="419"/>
      <c r="G51" s="419"/>
      <c r="H51" s="2"/>
      <c r="I51" s="2"/>
      <c r="J51" s="2"/>
      <c r="K51" s="10"/>
    </row>
    <row r="52" spans="1:11">
      <c r="A52" s="59">
        <v>1</v>
      </c>
      <c r="B52" s="59">
        <v>3.8</v>
      </c>
      <c r="C52" s="310">
        <f>A52*B52</f>
        <v>3.8</v>
      </c>
      <c r="D52" s="418"/>
      <c r="E52" s="419"/>
      <c r="F52" s="419"/>
      <c r="G52" s="419"/>
      <c r="H52" s="2"/>
      <c r="I52" s="2"/>
      <c r="J52" s="2"/>
      <c r="K52" s="10"/>
    </row>
    <row r="53" spans="1:11" ht="15.75" thickBot="1">
      <c r="A53" s="41">
        <v>1</v>
      </c>
      <c r="B53" s="41">
        <v>4.8</v>
      </c>
      <c r="C53" s="308">
        <f>A53*B53</f>
        <v>4.8</v>
      </c>
      <c r="D53" s="37"/>
      <c r="E53" s="32" t="s">
        <v>16</v>
      </c>
      <c r="F53" s="32" t="s">
        <v>17</v>
      </c>
      <c r="G53" s="32" t="s">
        <v>18</v>
      </c>
      <c r="H53" s="2"/>
      <c r="I53" s="2"/>
      <c r="J53" s="2"/>
      <c r="K53" s="10"/>
    </row>
    <row r="54" spans="1:11" ht="15.75" thickBot="1">
      <c r="A54" s="55"/>
      <c r="B54" s="179"/>
      <c r="C54" s="121">
        <f ca="1">SUM(C51:(OFFSET(C54,-1,0)))</f>
        <v>20</v>
      </c>
      <c r="D54" s="38"/>
      <c r="E54" s="33">
        <v>600</v>
      </c>
      <c r="F54" s="33">
        <v>1010</v>
      </c>
      <c r="G54" s="33">
        <f ca="1">$C54*(E54/1000)*(F54/1000)</f>
        <v>12.120000000000001</v>
      </c>
      <c r="H54" s="2"/>
      <c r="I54" s="2"/>
      <c r="J54" s="2"/>
      <c r="K54" s="10"/>
    </row>
    <row r="55" spans="1:11" ht="15" customHeight="1">
      <c r="A55" s="3"/>
      <c r="B55" s="3"/>
      <c r="C55" s="309"/>
      <c r="D55" s="31">
        <f ca="1">SUM(((H55/3)*'Labour Analysis'!$E$22)/H55)</f>
        <v>4.833333333333333</v>
      </c>
      <c r="E55" s="31">
        <f ca="1">SUM(((H55/'Plant Analysis'!$B$20)*'Plant Analysis'!$E$18)/H55)</f>
        <v>8.3333333333333321</v>
      </c>
      <c r="F55" s="31">
        <v>0</v>
      </c>
      <c r="G55" s="31">
        <v>0</v>
      </c>
      <c r="H55" s="25">
        <f ca="1">$G54</f>
        <v>12.120000000000001</v>
      </c>
      <c r="I55" s="30" t="s">
        <v>19</v>
      </c>
      <c r="J55" s="41">
        <f ca="1">SUM(D55:G55)</f>
        <v>13.166666666666664</v>
      </c>
      <c r="K55" s="42">
        <f ca="1">SUM(H55*J55)</f>
        <v>159.57999999999998</v>
      </c>
    </row>
    <row r="56" spans="1:11">
      <c r="E56" s="311"/>
      <c r="F56" s="311"/>
    </row>
    <row r="57" spans="1:11">
      <c r="E57" s="420" t="s">
        <v>37</v>
      </c>
      <c r="F57" s="420"/>
    </row>
    <row r="58" spans="1:11">
      <c r="D58" s="416" t="s">
        <v>20</v>
      </c>
      <c r="E58" s="417"/>
      <c r="F58" s="417"/>
      <c r="G58" s="417"/>
    </row>
    <row r="59" spans="1:11" ht="17.25">
      <c r="D59" s="39">
        <v>0</v>
      </c>
      <c r="E59" s="31">
        <f ca="1">SUM((((H59*1.6)/'Plant Analysis'!$B$33)*'Plant Analysis'!$B$32)/H59)</f>
        <v>24.000000000000004</v>
      </c>
      <c r="F59" s="34">
        <v>0</v>
      </c>
      <c r="G59" s="34">
        <v>0</v>
      </c>
      <c r="H59" s="25">
        <f ca="1">$H55</f>
        <v>12.120000000000001</v>
      </c>
      <c r="I59" s="30" t="s">
        <v>19</v>
      </c>
      <c r="J59" s="41">
        <f ca="1">SUM(D59:G59)</f>
        <v>24.000000000000004</v>
      </c>
      <c r="K59" s="42">
        <f ca="1">SUM(H59*J59)</f>
        <v>290.88000000000005</v>
      </c>
    </row>
    <row r="60" spans="1:11">
      <c r="E60" s="311"/>
      <c r="F60" s="311"/>
    </row>
    <row r="61" spans="1:11">
      <c r="E61" s="420" t="s">
        <v>37</v>
      </c>
      <c r="F61" s="420"/>
    </row>
    <row r="62" spans="1:11" ht="15" customHeight="1">
      <c r="D62" s="416" t="s">
        <v>21</v>
      </c>
      <c r="E62" s="417"/>
      <c r="F62" s="417"/>
      <c r="G62" s="417"/>
    </row>
    <row r="63" spans="1:11">
      <c r="D63" s="37"/>
      <c r="E63" s="32" t="s">
        <v>16</v>
      </c>
      <c r="F63" s="32" t="s">
        <v>17</v>
      </c>
      <c r="G63" s="32" t="s">
        <v>18</v>
      </c>
      <c r="H63" s="2"/>
      <c r="I63" s="2"/>
      <c r="J63" s="2"/>
      <c r="K63" s="10"/>
    </row>
    <row r="64" spans="1:11">
      <c r="D64" s="38"/>
      <c r="E64" s="33">
        <f>E54</f>
        <v>600</v>
      </c>
      <c r="F64" s="33">
        <v>975</v>
      </c>
      <c r="G64" s="33">
        <f ca="1">$C54*(E64/1000)*(F64/1000)</f>
        <v>11.7</v>
      </c>
      <c r="H64" s="2"/>
      <c r="I64" s="2"/>
      <c r="J64" s="2"/>
      <c r="K64" s="10"/>
    </row>
    <row r="65" spans="4:11" ht="17.25">
      <c r="D65" s="36">
        <f>'Labour Analysis'!$E$24*0.5</f>
        <v>16</v>
      </c>
      <c r="E65" s="31">
        <v>0</v>
      </c>
      <c r="F65" s="31">
        <f ca="1">'Material Analysis'!I7</f>
        <v>84</v>
      </c>
      <c r="G65" s="31">
        <v>0</v>
      </c>
      <c r="H65" s="25">
        <f ca="1">$G64</f>
        <v>11.7</v>
      </c>
      <c r="I65" s="30" t="s">
        <v>19</v>
      </c>
      <c r="J65" s="41">
        <f ca="1">SUM(D65:G65)</f>
        <v>100</v>
      </c>
      <c r="K65" s="42">
        <f ca="1">SUM(H65*J65)</f>
        <v>1170</v>
      </c>
    </row>
    <row r="66" spans="4:11">
      <c r="E66" s="311"/>
      <c r="F66" s="311"/>
    </row>
    <row r="67" spans="4:11">
      <c r="E67" s="420" t="s">
        <v>37</v>
      </c>
      <c r="F67" s="420"/>
    </row>
    <row r="68" spans="4:11">
      <c r="D68" s="416" t="s">
        <v>22</v>
      </c>
      <c r="E68" s="417"/>
      <c r="F68" s="417"/>
      <c r="G68" s="417"/>
    </row>
    <row r="69" spans="4:11" ht="15" customHeight="1">
      <c r="D69" s="37"/>
      <c r="E69" s="32" t="s">
        <v>16</v>
      </c>
      <c r="F69" s="35" t="s">
        <v>23</v>
      </c>
      <c r="G69" s="34"/>
    </row>
    <row r="70" spans="4:11">
      <c r="D70" s="38"/>
      <c r="E70" s="33">
        <f>E54</f>
        <v>600</v>
      </c>
      <c r="F70" s="34">
        <f ca="1">SUM($C54*(E70/1000))</f>
        <v>12</v>
      </c>
      <c r="G70" s="34"/>
    </row>
    <row r="71" spans="4:11" ht="17.25">
      <c r="D71" s="39">
        <f>'Labour Analysis'!$E$22*0.05</f>
        <v>0.72500000000000009</v>
      </c>
      <c r="E71" s="34">
        <v>0</v>
      </c>
      <c r="F71" s="34">
        <v>0.25</v>
      </c>
      <c r="G71" s="34">
        <v>0</v>
      </c>
      <c r="H71" s="25">
        <f ca="1">$F70</f>
        <v>12</v>
      </c>
      <c r="I71" s="30" t="s">
        <v>13</v>
      </c>
      <c r="J71" s="41">
        <f>SUM(D71:G71)</f>
        <v>0.97500000000000009</v>
      </c>
      <c r="K71" s="42">
        <f ca="1">SUM(H71*J71)</f>
        <v>11.700000000000001</v>
      </c>
    </row>
    <row r="72" spans="4:11">
      <c r="E72" s="311"/>
      <c r="F72" s="311"/>
    </row>
    <row r="73" spans="4:11">
      <c r="E73" s="420" t="s">
        <v>37</v>
      </c>
      <c r="F73" s="420"/>
    </row>
    <row r="74" spans="4:11">
      <c r="D74" s="408" t="s">
        <v>24</v>
      </c>
      <c r="E74" s="409"/>
      <c r="F74" s="409"/>
      <c r="G74" s="409"/>
    </row>
    <row r="75" spans="4:11">
      <c r="D75" s="408"/>
      <c r="E75" s="409"/>
      <c r="F75" s="409"/>
      <c r="G75" s="409"/>
    </row>
    <row r="76" spans="4:11" ht="15" customHeight="1">
      <c r="D76" s="37"/>
      <c r="E76" s="32" t="s">
        <v>17</v>
      </c>
      <c r="F76" s="32" t="s">
        <v>25</v>
      </c>
      <c r="G76" s="32" t="s">
        <v>23</v>
      </c>
    </row>
    <row r="77" spans="4:11">
      <c r="D77" s="38"/>
      <c r="E77" s="33">
        <f>F54</f>
        <v>1010</v>
      </c>
      <c r="F77" s="33">
        <v>2</v>
      </c>
      <c r="G77" s="33">
        <f ca="1">$C54*(E77/1000)*(F77)</f>
        <v>40.4</v>
      </c>
    </row>
    <row r="78" spans="4:11" ht="17.25">
      <c r="D78" s="39">
        <f>'Labour Analysis'!$E$22*0.07</f>
        <v>1.0150000000000001</v>
      </c>
      <c r="E78" s="34">
        <v>0</v>
      </c>
      <c r="F78" s="34">
        <v>1</v>
      </c>
      <c r="G78" s="34">
        <v>0</v>
      </c>
      <c r="H78" s="25">
        <f ca="1">$G77</f>
        <v>40.4</v>
      </c>
      <c r="I78" s="30" t="s">
        <v>13</v>
      </c>
      <c r="J78" s="41">
        <f>SUM(D78:G78)</f>
        <v>2.0150000000000001</v>
      </c>
      <c r="K78" s="42">
        <f ca="1">SUM(H78*J78)</f>
        <v>81.406000000000006</v>
      </c>
    </row>
    <row r="79" spans="4:11">
      <c r="E79" s="311"/>
      <c r="F79" s="311"/>
      <c r="H79" s="3"/>
      <c r="I79" s="2"/>
      <c r="J79" s="3"/>
      <c r="K79" s="10"/>
    </row>
    <row r="80" spans="4:11">
      <c r="E80" s="331"/>
      <c r="F80" s="331"/>
    </row>
    <row r="81" spans="3:11" ht="15" customHeight="1">
      <c r="E81" s="331"/>
      <c r="F81" s="331"/>
    </row>
    <row r="82" spans="3:11">
      <c r="E82" s="331"/>
      <c r="F82" s="331"/>
    </row>
    <row r="83" spans="3:11">
      <c r="E83" s="331"/>
      <c r="F83" s="331"/>
    </row>
    <row r="84" spans="3:11">
      <c r="E84" s="331"/>
      <c r="F84" s="331"/>
    </row>
    <row r="85" spans="3:11" ht="15" customHeight="1">
      <c r="E85" s="331"/>
      <c r="F85" s="331"/>
    </row>
    <row r="86" spans="3:11" ht="15" customHeight="1">
      <c r="E86" s="331"/>
      <c r="F86" s="331"/>
    </row>
    <row r="87" spans="3:11" ht="15" customHeight="1">
      <c r="C87" s="261"/>
      <c r="E87" s="311"/>
      <c r="F87" s="311"/>
      <c r="H87" s="29"/>
      <c r="I87" s="2"/>
      <c r="J87" s="3"/>
      <c r="K87" s="10"/>
    </row>
    <row r="88" spans="3:11" ht="15" customHeight="1">
      <c r="C88" s="261"/>
      <c r="E88" s="311"/>
      <c r="F88" s="311"/>
      <c r="H88" s="29"/>
      <c r="I88" s="2"/>
      <c r="J88" s="3"/>
      <c r="K88" s="10"/>
    </row>
    <row r="89" spans="3:11" ht="15" customHeight="1">
      <c r="C89" s="261"/>
      <c r="E89" s="311"/>
      <c r="F89" s="311"/>
      <c r="H89" s="29"/>
      <c r="I89" s="2"/>
      <c r="J89" s="3"/>
      <c r="K89" s="10"/>
    </row>
    <row r="90" spans="3:11" ht="15" customHeight="1">
      <c r="C90" s="261"/>
      <c r="E90" s="311"/>
      <c r="F90" s="311"/>
      <c r="H90" s="29"/>
      <c r="I90" s="2"/>
      <c r="J90" s="3"/>
      <c r="K90" s="10"/>
    </row>
    <row r="91" spans="3:11" ht="15" customHeight="1">
      <c r="C91" s="261"/>
      <c r="E91" s="311"/>
      <c r="F91" s="311"/>
      <c r="H91" s="29"/>
      <c r="I91" s="2"/>
      <c r="J91" s="3"/>
      <c r="K91" s="10"/>
    </row>
    <row r="92" spans="3:11" ht="15" customHeight="1">
      <c r="C92" s="261"/>
      <c r="E92" s="311"/>
      <c r="F92" s="311"/>
      <c r="H92" s="29"/>
      <c r="I92" s="2"/>
      <c r="J92" s="3"/>
      <c r="K92" s="10"/>
    </row>
    <row r="93" spans="3:11" ht="15" customHeight="1">
      <c r="C93" s="261"/>
      <c r="E93" s="311"/>
      <c r="F93" s="311"/>
      <c r="H93" s="29"/>
      <c r="I93" s="2"/>
      <c r="J93" s="3"/>
      <c r="K93" s="10"/>
    </row>
    <row r="94" spans="3:11" ht="15" customHeight="1">
      <c r="C94" s="261"/>
      <c r="E94" s="311"/>
      <c r="F94" s="311"/>
      <c r="H94" s="29"/>
      <c r="I94" s="2"/>
      <c r="J94" s="3"/>
      <c r="K94" s="10"/>
    </row>
    <row r="95" spans="3:11" ht="15" customHeight="1">
      <c r="C95" s="261"/>
      <c r="E95" s="311"/>
      <c r="F95" s="311"/>
      <c r="H95" s="29"/>
      <c r="I95" s="2"/>
      <c r="J95" s="3"/>
      <c r="K95" s="10"/>
    </row>
    <row r="96" spans="3:11" ht="15" customHeight="1">
      <c r="C96" s="261"/>
      <c r="E96" s="311"/>
      <c r="F96" s="311"/>
      <c r="H96" s="29"/>
      <c r="I96" s="2"/>
      <c r="J96" s="3"/>
      <c r="K96" s="10"/>
    </row>
    <row r="97" spans="3:11" ht="15" customHeight="1">
      <c r="C97" s="261"/>
      <c r="E97" s="311"/>
      <c r="F97" s="311"/>
      <c r="H97" s="29"/>
      <c r="I97" s="2"/>
      <c r="J97" s="3"/>
      <c r="K97" s="10"/>
    </row>
    <row r="98" spans="3:11" ht="15" customHeight="1">
      <c r="C98" s="261"/>
      <c r="E98" s="311"/>
      <c r="F98" s="311"/>
      <c r="H98" s="29"/>
      <c r="I98" s="2"/>
      <c r="J98" s="3"/>
      <c r="K98" s="10"/>
    </row>
    <row r="99" spans="3:11" ht="15" customHeight="1">
      <c r="C99" s="261"/>
      <c r="E99" s="311"/>
      <c r="F99" s="311"/>
      <c r="H99" s="29"/>
      <c r="I99" s="2"/>
      <c r="J99" s="3"/>
      <c r="K99" s="10"/>
    </row>
    <row r="100" spans="3:11" ht="15" customHeight="1">
      <c r="C100" s="261"/>
      <c r="E100" s="311"/>
      <c r="F100" s="311"/>
      <c r="H100" s="29"/>
      <c r="I100" s="2"/>
      <c r="J100" s="3"/>
      <c r="K100" s="10"/>
    </row>
    <row r="101" spans="3:11">
      <c r="C101" s="261"/>
      <c r="E101" s="311"/>
      <c r="F101" s="311"/>
      <c r="H101" s="29"/>
      <c r="I101" s="2"/>
      <c r="J101" s="3"/>
      <c r="K101" s="10"/>
    </row>
    <row r="102" spans="3:11">
      <c r="C102" s="261"/>
      <c r="E102" s="311"/>
      <c r="F102" s="311"/>
      <c r="H102" s="29"/>
      <c r="I102" s="2"/>
      <c r="J102" s="3"/>
      <c r="K102" s="10"/>
    </row>
    <row r="103" spans="3:11">
      <c r="C103" s="261"/>
      <c r="E103" s="311"/>
      <c r="F103" s="311"/>
      <c r="H103" s="29"/>
      <c r="I103" s="2"/>
      <c r="J103" s="3"/>
      <c r="K103" s="10"/>
    </row>
    <row r="104" spans="3:11" ht="15" customHeight="1">
      <c r="C104" s="261"/>
      <c r="E104" s="311"/>
      <c r="F104" s="311"/>
      <c r="H104" s="29"/>
      <c r="I104" s="2"/>
      <c r="J104" s="3"/>
      <c r="K104" s="10"/>
    </row>
    <row r="105" spans="3:11">
      <c r="C105" s="261"/>
      <c r="E105" s="311"/>
      <c r="F105" s="311"/>
      <c r="H105" s="29"/>
      <c r="I105" s="2"/>
      <c r="J105" s="3"/>
      <c r="K105" s="10"/>
    </row>
    <row r="106" spans="3:11">
      <c r="C106" s="261"/>
      <c r="E106" s="311"/>
      <c r="F106" s="311"/>
      <c r="H106" s="29"/>
      <c r="I106" s="2"/>
      <c r="J106" s="3"/>
      <c r="K106" s="10"/>
    </row>
    <row r="107" spans="3:11">
      <c r="C107" s="261"/>
      <c r="E107" s="311"/>
      <c r="F107" s="311"/>
      <c r="H107" s="29"/>
      <c r="I107" s="2"/>
      <c r="J107" s="3"/>
      <c r="K107" s="10"/>
    </row>
    <row r="108" spans="3:11">
      <c r="C108" s="261"/>
      <c r="E108" s="311"/>
      <c r="F108" s="311"/>
      <c r="H108" s="29"/>
      <c r="I108" s="2"/>
      <c r="J108" s="3"/>
      <c r="K108" s="10"/>
    </row>
    <row r="109" spans="3:11">
      <c r="C109" s="261"/>
      <c r="E109" s="311"/>
      <c r="F109" s="311"/>
      <c r="H109" s="29"/>
      <c r="I109" s="2"/>
      <c r="J109" s="3"/>
      <c r="K109" s="10"/>
    </row>
    <row r="110" spans="3:11">
      <c r="C110" s="261"/>
      <c r="E110" s="311"/>
      <c r="F110" s="311"/>
      <c r="H110" s="29"/>
      <c r="I110" s="2"/>
      <c r="J110" s="3"/>
      <c r="K110" s="10"/>
    </row>
    <row r="111" spans="3:11">
      <c r="C111" s="261"/>
      <c r="E111" s="311"/>
      <c r="F111" s="311"/>
      <c r="H111" s="29"/>
      <c r="I111" s="2"/>
      <c r="J111" s="3"/>
      <c r="K111" s="10"/>
    </row>
    <row r="112" spans="3:11">
      <c r="C112" s="261"/>
      <c r="E112" s="311"/>
      <c r="F112" s="311"/>
      <c r="H112" s="29"/>
      <c r="I112" s="2"/>
      <c r="J112" s="3"/>
      <c r="K112" s="10"/>
    </row>
    <row r="113" spans="2:11">
      <c r="C113" s="261"/>
      <c r="E113" s="311"/>
      <c r="F113" s="311"/>
      <c r="H113" s="29"/>
      <c r="I113" s="2"/>
      <c r="J113" s="3"/>
      <c r="K113" s="10"/>
    </row>
    <row r="114" spans="2:11">
      <c r="C114" s="261"/>
      <c r="E114" s="311"/>
      <c r="F114" s="311"/>
      <c r="H114" s="29"/>
      <c r="I114" s="2"/>
      <c r="J114" s="3"/>
      <c r="K114" s="10"/>
    </row>
    <row r="115" spans="2:11">
      <c r="C115" s="261"/>
      <c r="E115" s="311"/>
      <c r="F115" s="311"/>
      <c r="H115" s="29"/>
      <c r="I115" s="2"/>
      <c r="J115" s="3"/>
      <c r="K115" s="10"/>
    </row>
    <row r="116" spans="2:11" ht="15" customHeight="1">
      <c r="C116" s="261"/>
      <c r="E116" s="311"/>
      <c r="F116" s="311"/>
      <c r="H116" s="29"/>
      <c r="I116" s="2"/>
      <c r="J116" s="3"/>
      <c r="K116" s="10"/>
    </row>
    <row r="117" spans="2:11">
      <c r="C117" s="261"/>
      <c r="E117" s="311"/>
      <c r="F117" s="311"/>
      <c r="H117" s="29"/>
      <c r="I117" s="2"/>
      <c r="J117" s="3"/>
      <c r="K117" s="10"/>
    </row>
    <row r="118" spans="2:11">
      <c r="C118" s="261"/>
      <c r="E118" s="311"/>
      <c r="F118" s="311"/>
      <c r="H118" s="29"/>
      <c r="I118" s="2"/>
      <c r="J118" s="3"/>
      <c r="K118" s="10"/>
    </row>
    <row r="119" spans="2:11">
      <c r="C119" s="261"/>
      <c r="E119" s="311"/>
      <c r="F119" s="311"/>
      <c r="H119" s="29"/>
      <c r="I119" s="2"/>
      <c r="J119" s="3"/>
      <c r="K119" s="10"/>
    </row>
    <row r="120" spans="2:11">
      <c r="C120" s="75"/>
      <c r="E120" s="188"/>
      <c r="F120" s="188"/>
      <c r="H120" s="29"/>
      <c r="I120" s="2"/>
      <c r="J120" s="3"/>
      <c r="K120" s="10"/>
    </row>
    <row r="121" spans="2:11">
      <c r="E121" s="188"/>
      <c r="F121" s="188"/>
      <c r="H121" s="29"/>
      <c r="I121" s="2"/>
      <c r="J121" s="3"/>
      <c r="K121" s="10"/>
    </row>
    <row r="122" spans="2:11">
      <c r="E122" s="188"/>
      <c r="F122" s="188"/>
      <c r="H122" s="29"/>
      <c r="I122" s="2"/>
      <c r="J122" s="3"/>
      <c r="K122" s="10"/>
    </row>
    <row r="123" spans="2:11">
      <c r="E123" s="195"/>
      <c r="F123" s="195"/>
      <c r="H123" s="29"/>
      <c r="I123" s="2"/>
      <c r="J123" s="3"/>
      <c r="K123" s="10"/>
    </row>
    <row r="124" spans="2:11" ht="15.75" thickBot="1">
      <c r="E124" s="195"/>
      <c r="F124" s="195"/>
      <c r="H124" s="29"/>
      <c r="I124" s="2"/>
      <c r="J124" s="3"/>
      <c r="K124" s="10"/>
    </row>
    <row r="125" spans="2:11" ht="17.25" thickTop="1" thickBot="1">
      <c r="B125" s="405" t="s">
        <v>36</v>
      </c>
      <c r="C125" s="406"/>
      <c r="D125" s="72">
        <f ca="1">SUMPRODUCT(D1:D124,$H1:$H124)</f>
        <v>1440.2928431250002</v>
      </c>
      <c r="E125" s="72">
        <f ca="1">SUMPRODUCT(E1:E124,$H1:$H124)</f>
        <v>2738.4389812500003</v>
      </c>
      <c r="F125" s="72">
        <f ca="1">SUMPRODUCT(F1:F124,$H1:$H124)</f>
        <v>3340.2809999999995</v>
      </c>
      <c r="G125" s="72">
        <f ca="1">SUMPRODUCT(G1:G124,$H1:$H124)</f>
        <v>0</v>
      </c>
      <c r="H125" s="57">
        <f ca="1">SUM(D125:G125)</f>
        <v>7519.0128243750005</v>
      </c>
      <c r="I125" s="54"/>
      <c r="J125" s="199"/>
      <c r="K125" s="56">
        <f ca="1">SUM(K4:K124)</f>
        <v>7519.0128243749996</v>
      </c>
    </row>
    <row r="126" spans="2:11">
      <c r="K126" s="58" t="str">
        <f ca="1">IF((H125+J125)=K125,"Correct")</f>
        <v>Correct</v>
      </c>
    </row>
  </sheetData>
  <sheetProtection sheet="1" objects="1" scenarios="1" selectLockedCells="1" selectUnlockedCells="1"/>
  <mergeCells count="36">
    <mergeCell ref="I2:I3"/>
    <mergeCell ref="J2:J3"/>
    <mergeCell ref="D2:G2"/>
    <mergeCell ref="D15:G15"/>
    <mergeCell ref="K2:K3"/>
    <mergeCell ref="D5:G5"/>
    <mergeCell ref="D9:G9"/>
    <mergeCell ref="E31:F31"/>
    <mergeCell ref="A2:A3"/>
    <mergeCell ref="H2:H3"/>
    <mergeCell ref="B2:C3"/>
    <mergeCell ref="C5:C6"/>
    <mergeCell ref="D21:G22"/>
    <mergeCell ref="E8:F8"/>
    <mergeCell ref="E14:F14"/>
    <mergeCell ref="C7:C8"/>
    <mergeCell ref="C9:C10"/>
    <mergeCell ref="C11:C12"/>
    <mergeCell ref="C13:C14"/>
    <mergeCell ref="E27:F27"/>
    <mergeCell ref="D28:G28"/>
    <mergeCell ref="B125:C125"/>
    <mergeCell ref="E43:F43"/>
    <mergeCell ref="E61:F61"/>
    <mergeCell ref="D62:G62"/>
    <mergeCell ref="E67:F67"/>
    <mergeCell ref="D68:G68"/>
    <mergeCell ref="E73:F73"/>
    <mergeCell ref="D74:G75"/>
    <mergeCell ref="D44:G45"/>
    <mergeCell ref="D32:G32"/>
    <mergeCell ref="D38:G38"/>
    <mergeCell ref="D51:G52"/>
    <mergeCell ref="E57:F57"/>
    <mergeCell ref="D58:G58"/>
    <mergeCell ref="E37:F37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B.E.S.Ltd&amp;C&amp;P of &amp;N&amp;R&amp;A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K125"/>
  <sheetViews>
    <sheetView view="pageLayout" topLeftCell="A37" workbookViewId="0">
      <selection activeCell="D5" sqref="D5:K14"/>
    </sheetView>
  </sheetViews>
  <sheetFormatPr defaultRowHeight="15"/>
  <cols>
    <col min="1" max="2" width="10.5703125" style="29" customWidth="1"/>
    <col min="3" max="3" width="10.5703125" style="14" customWidth="1"/>
    <col min="4" max="4" width="9.28515625" style="9" bestFit="1" customWidth="1"/>
    <col min="5" max="5" width="9.28515625" style="223" customWidth="1"/>
    <col min="6" max="6" width="9.5703125" style="223" bestFit="1" customWidth="1"/>
    <col min="7" max="7" width="9.28515625" style="17" customWidth="1"/>
    <col min="8" max="8" width="10.5703125" style="4" customWidth="1"/>
    <col min="9" max="9" width="5.140625" style="4" customWidth="1"/>
    <col min="10" max="10" width="10.5703125" style="4" customWidth="1"/>
    <col min="11" max="11" width="11.28515625" style="11" customWidth="1"/>
  </cols>
  <sheetData>
    <row r="1" spans="1:11">
      <c r="A1" s="111" t="s">
        <v>267</v>
      </c>
      <c r="B1" s="46"/>
      <c r="C1" s="45"/>
      <c r="D1" s="219"/>
      <c r="E1" s="219"/>
      <c r="F1" s="219"/>
      <c r="G1" s="219"/>
      <c r="H1" s="106"/>
      <c r="I1" s="106"/>
      <c r="J1" s="106"/>
      <c r="K1" s="61"/>
    </row>
    <row r="2" spans="1:11" s="1" customFormat="1">
      <c r="A2" s="421" t="s">
        <v>0</v>
      </c>
      <c r="B2" s="421" t="s">
        <v>1</v>
      </c>
      <c r="C2" s="425"/>
      <c r="D2" s="432" t="s">
        <v>2</v>
      </c>
      <c r="E2" s="425"/>
      <c r="F2" s="425"/>
      <c r="G2" s="433"/>
      <c r="H2" s="423" t="s">
        <v>6</v>
      </c>
      <c r="I2" s="423" t="s">
        <v>7</v>
      </c>
      <c r="J2" s="430" t="s">
        <v>8</v>
      </c>
      <c r="K2" s="434" t="s">
        <v>9</v>
      </c>
    </row>
    <row r="3" spans="1:11" s="6" customFormat="1">
      <c r="A3" s="422"/>
      <c r="B3" s="422"/>
      <c r="C3" s="426"/>
      <c r="D3" s="7" t="s">
        <v>3</v>
      </c>
      <c r="E3" s="220" t="s">
        <v>4</v>
      </c>
      <c r="F3" s="220" t="s">
        <v>5</v>
      </c>
      <c r="G3" s="221" t="s">
        <v>45</v>
      </c>
      <c r="H3" s="424"/>
      <c r="I3" s="424"/>
      <c r="J3" s="431"/>
      <c r="K3" s="435"/>
    </row>
    <row r="4" spans="1:11">
      <c r="A4" s="3"/>
      <c r="B4" s="41"/>
      <c r="C4" s="218"/>
      <c r="D4" s="8"/>
      <c r="E4" s="228"/>
      <c r="F4" s="228"/>
      <c r="G4" s="15"/>
      <c r="H4" s="2"/>
      <c r="I4" s="2"/>
      <c r="J4" s="2"/>
      <c r="K4" s="10"/>
    </row>
    <row r="5" spans="1:11" ht="15" customHeight="1">
      <c r="A5" s="59">
        <v>2</v>
      </c>
      <c r="B5" s="59">
        <v>11.55</v>
      </c>
      <c r="C5" s="323">
        <f>A5*B5</f>
        <v>23.1</v>
      </c>
      <c r="D5" s="408" t="s">
        <v>26</v>
      </c>
      <c r="E5" s="409"/>
      <c r="F5" s="409"/>
      <c r="G5" s="409"/>
    </row>
    <row r="6" spans="1:11" ht="15" customHeight="1" thickBot="1">
      <c r="A6" s="59">
        <v>2</v>
      </c>
      <c r="B6" s="59">
        <v>11</v>
      </c>
      <c r="C6" s="323">
        <f>A6*B6</f>
        <v>22</v>
      </c>
      <c r="D6" s="408"/>
      <c r="E6" s="409"/>
      <c r="F6" s="409"/>
      <c r="G6" s="409"/>
    </row>
    <row r="7" spans="1:11" ht="15.75" thickBot="1">
      <c r="A7" s="55"/>
      <c r="B7" s="179"/>
      <c r="C7" s="121">
        <f ca="1">SUM(C4:(OFFSET(C7,-1,0)))</f>
        <v>45.1</v>
      </c>
      <c r="D7" s="408"/>
      <c r="E7" s="409"/>
      <c r="F7" s="409"/>
      <c r="G7" s="409"/>
    </row>
    <row r="8" spans="1:11">
      <c r="A8" s="3"/>
      <c r="B8" s="3"/>
      <c r="C8" s="217"/>
      <c r="D8" s="247" t="s">
        <v>282</v>
      </c>
      <c r="E8" s="436" t="s">
        <v>292</v>
      </c>
      <c r="F8" s="437"/>
      <c r="G8" s="438"/>
      <c r="H8" s="3"/>
      <c r="I8" s="3"/>
      <c r="J8" s="3"/>
      <c r="K8" s="10"/>
    </row>
    <row r="9" spans="1:11" ht="15" customHeight="1">
      <c r="D9" s="246" t="s">
        <v>283</v>
      </c>
      <c r="E9" s="252">
        <f>'Material Analysis'!I10</f>
        <v>220.5</v>
      </c>
      <c r="F9" s="250" t="s">
        <v>281</v>
      </c>
      <c r="G9" s="251"/>
      <c r="H9" s="3"/>
      <c r="I9" s="3"/>
      <c r="J9" s="3"/>
      <c r="K9" s="10"/>
    </row>
    <row r="10" spans="1:11">
      <c r="D10" s="246" t="s">
        <v>284</v>
      </c>
      <c r="E10" s="252" t="s">
        <v>287</v>
      </c>
      <c r="F10" s="248" t="s">
        <v>285</v>
      </c>
      <c r="G10" s="254">
        <f>VLOOKUP(E10,BrickBond,2,0)</f>
        <v>60</v>
      </c>
      <c r="H10" s="3"/>
      <c r="I10" s="3"/>
      <c r="J10" s="3"/>
      <c r="K10" s="10"/>
    </row>
    <row r="11" spans="1:11">
      <c r="D11" s="247" t="s">
        <v>291</v>
      </c>
      <c r="E11" s="253">
        <f>'Material Analysis'!H10</f>
        <v>0.05</v>
      </c>
      <c r="F11" s="68"/>
      <c r="G11" s="249"/>
      <c r="H11" s="3"/>
      <c r="I11" s="3"/>
      <c r="J11" s="3"/>
      <c r="K11" s="10"/>
    </row>
    <row r="12" spans="1:11">
      <c r="D12" s="37"/>
      <c r="E12" s="32" t="s">
        <v>27</v>
      </c>
      <c r="F12" s="32" t="s">
        <v>25</v>
      </c>
      <c r="G12" s="32" t="s">
        <v>23</v>
      </c>
    </row>
    <row r="13" spans="1:11" ht="15" customHeight="1">
      <c r="D13" s="38"/>
      <c r="E13" s="33">
        <v>675</v>
      </c>
      <c r="F13" s="33">
        <v>2</v>
      </c>
      <c r="G13" s="33">
        <f ca="1">$C7*(E13/1000)*(F13)</f>
        <v>60.885000000000005</v>
      </c>
    </row>
    <row r="14" spans="1:11" ht="17.25">
      <c r="D14" s="36">
        <f>SUM('Labour Analysis'!B36/(1000/G10))</f>
        <v>16.5</v>
      </c>
      <c r="E14" s="31">
        <v>0</v>
      </c>
      <c r="F14" s="31">
        <f>ROUNDUP(SUM(E9/(1000/G10)),0)</f>
        <v>14</v>
      </c>
      <c r="G14" s="31">
        <v>0</v>
      </c>
      <c r="H14" s="25">
        <f ca="1">$G13</f>
        <v>60.885000000000005</v>
      </c>
      <c r="I14" s="25" t="s">
        <v>13</v>
      </c>
      <c r="J14" s="41">
        <f>SUM(D14:G14)</f>
        <v>30.5</v>
      </c>
      <c r="K14" s="42">
        <f ca="1">SUM(H14*J14)</f>
        <v>1856.9925000000001</v>
      </c>
    </row>
    <row r="16" spans="1:11">
      <c r="E16" s="420" t="s">
        <v>37</v>
      </c>
      <c r="F16" s="420"/>
    </row>
    <row r="17" spans="4:11" ht="15" customHeight="1">
      <c r="D17" s="439" t="s">
        <v>322</v>
      </c>
      <c r="E17" s="440"/>
      <c r="F17" s="440"/>
      <c r="G17" s="441"/>
    </row>
    <row r="18" spans="4:11">
      <c r="D18" s="230">
        <v>100</v>
      </c>
      <c r="E18" s="231" t="s">
        <v>323</v>
      </c>
      <c r="F18" s="442"/>
      <c r="G18" s="443"/>
    </row>
    <row r="19" spans="4:11">
      <c r="D19" s="37"/>
      <c r="E19" s="32" t="s">
        <v>27</v>
      </c>
      <c r="F19" s="35" t="s">
        <v>23</v>
      </c>
      <c r="G19" s="34"/>
    </row>
    <row r="20" spans="4:11">
      <c r="D20" s="38"/>
      <c r="E20" s="33">
        <v>675</v>
      </c>
      <c r="F20" s="34">
        <f ca="1">SUM($C7*(E20/1000))</f>
        <v>30.442500000000003</v>
      </c>
      <c r="G20" s="34"/>
    </row>
    <row r="21" spans="4:11" ht="15" customHeight="1">
      <c r="D21" s="39">
        <f>'Labour Analysis'!E39*0.2</f>
        <v>4</v>
      </c>
      <c r="E21" s="34">
        <v>0</v>
      </c>
      <c r="F21" s="34">
        <f ca="1">ROUNDUP(SUM(((((H21*(E20/1000)*(D18/1000))*'Material Analysis'!I8))/H21)+1.5),0)</f>
        <v>9</v>
      </c>
      <c r="G21" s="34">
        <v>0</v>
      </c>
      <c r="H21" s="25">
        <f ca="1">$F20</f>
        <v>30.442500000000003</v>
      </c>
      <c r="I21" s="30" t="s">
        <v>13</v>
      </c>
      <c r="J21" s="41">
        <f ca="1">SUM(D21:G21)</f>
        <v>13</v>
      </c>
      <c r="K21" s="42">
        <f ca="1">SUM(H21*J21)</f>
        <v>395.75250000000005</v>
      </c>
    </row>
    <row r="23" spans="4:11">
      <c r="E23" s="420" t="s">
        <v>37</v>
      </c>
      <c r="F23" s="420"/>
    </row>
    <row r="24" spans="4:11">
      <c r="D24" s="408" t="s">
        <v>28</v>
      </c>
      <c r="E24" s="409"/>
      <c r="F24" s="409"/>
      <c r="G24" s="409"/>
    </row>
    <row r="25" spans="4:11">
      <c r="D25" s="408"/>
      <c r="E25" s="409"/>
      <c r="F25" s="409"/>
      <c r="G25" s="409"/>
    </row>
    <row r="26" spans="4:11">
      <c r="D26" s="37"/>
      <c r="E26" s="32" t="s">
        <v>27</v>
      </c>
      <c r="F26" s="35" t="s">
        <v>23</v>
      </c>
      <c r="G26" s="34"/>
    </row>
    <row r="27" spans="4:11">
      <c r="D27" s="38"/>
      <c r="E27" s="33">
        <v>225</v>
      </c>
      <c r="F27" s="34">
        <f ca="1">SUM($C7*(E27/1000))</f>
        <v>10.147500000000001</v>
      </c>
      <c r="G27" s="34"/>
    </row>
    <row r="28" spans="4:11" ht="15" customHeight="1">
      <c r="D28" s="39">
        <f>SUM('Labour Analysis'!B37/(1000/G10))-'Brickwork to DPC'!D14</f>
        <v>7.5</v>
      </c>
      <c r="E28" s="34">
        <v>0</v>
      </c>
      <c r="F28" s="34">
        <f>'External walls (Brickwork)'!F12-'Brickwork to DPC'!F14</f>
        <v>28</v>
      </c>
      <c r="G28" s="34">
        <v>0</v>
      </c>
      <c r="H28" s="25">
        <f ca="1">$F27</f>
        <v>10.147500000000001</v>
      </c>
      <c r="I28" s="30" t="s">
        <v>13</v>
      </c>
      <c r="J28" s="41">
        <f>SUM(D28:G28)</f>
        <v>35.5</v>
      </c>
      <c r="K28" s="42">
        <f ca="1">SUM(H28*J28)</f>
        <v>360.23625000000004</v>
      </c>
    </row>
    <row r="30" spans="4:11">
      <c r="E30" s="420" t="s">
        <v>37</v>
      </c>
      <c r="F30" s="420"/>
    </row>
    <row r="31" spans="4:11">
      <c r="D31" s="408" t="s">
        <v>29</v>
      </c>
      <c r="E31" s="409"/>
      <c r="F31" s="409"/>
      <c r="G31" s="409"/>
    </row>
    <row r="32" spans="4:11">
      <c r="D32" s="408"/>
      <c r="E32" s="409"/>
      <c r="F32" s="409"/>
      <c r="G32" s="409"/>
    </row>
    <row r="33" spans="1:11">
      <c r="D33" s="37"/>
      <c r="E33" s="32" t="s">
        <v>30</v>
      </c>
      <c r="F33" s="35" t="s">
        <v>75</v>
      </c>
      <c r="G33" s="34"/>
    </row>
    <row r="34" spans="1:11" ht="15" customHeight="1">
      <c r="D34" s="38"/>
      <c r="E34" s="33">
        <v>3</v>
      </c>
      <c r="F34" s="34">
        <f ca="1">SUM($C7*E34)</f>
        <v>135.30000000000001</v>
      </c>
      <c r="G34" s="34"/>
    </row>
    <row r="35" spans="1:11">
      <c r="D35" s="39">
        <f>'Labour Analysis'!E39*0.04</f>
        <v>0.8</v>
      </c>
      <c r="E35" s="34">
        <v>0</v>
      </c>
      <c r="F35" s="34">
        <f>'Material Analysis'!I108</f>
        <v>1.4000000000000001</v>
      </c>
      <c r="G35" s="34">
        <v>0</v>
      </c>
      <c r="H35" s="25">
        <f ca="1">$F34</f>
        <v>135.30000000000001</v>
      </c>
      <c r="I35" s="30" t="s">
        <v>39</v>
      </c>
      <c r="J35" s="41">
        <f>SUM(D35:G35)</f>
        <v>2.2000000000000002</v>
      </c>
      <c r="K35" s="42">
        <f ca="1">SUM(H35*J35)</f>
        <v>297.66000000000003</v>
      </c>
    </row>
    <row r="38" spans="1:11" ht="15" customHeight="1">
      <c r="A38" s="59">
        <v>2</v>
      </c>
      <c r="B38" s="59">
        <v>5.7</v>
      </c>
      <c r="C38" s="323">
        <f>A38*B38</f>
        <v>11.4</v>
      </c>
      <c r="D38" s="408" t="s">
        <v>870</v>
      </c>
      <c r="E38" s="409"/>
      <c r="F38" s="409"/>
      <c r="G38" s="409"/>
    </row>
    <row r="39" spans="1:11">
      <c r="A39" s="59">
        <v>1</v>
      </c>
      <c r="B39" s="59">
        <v>3.8</v>
      </c>
      <c r="C39" s="323">
        <f>A39*B39</f>
        <v>3.8</v>
      </c>
      <c r="D39" s="408"/>
      <c r="E39" s="409"/>
      <c r="F39" s="409"/>
      <c r="G39" s="409"/>
    </row>
    <row r="40" spans="1:11" ht="15.75" thickBot="1">
      <c r="A40" s="41">
        <v>1</v>
      </c>
      <c r="B40" s="41">
        <v>4.8</v>
      </c>
      <c r="C40" s="322">
        <f>A40*B40</f>
        <v>4.8</v>
      </c>
      <c r="D40" s="408"/>
      <c r="E40" s="409"/>
      <c r="F40" s="409"/>
      <c r="G40" s="409"/>
    </row>
    <row r="41" spans="1:11" ht="15" customHeight="1" thickBot="1">
      <c r="A41" s="55"/>
      <c r="B41" s="179"/>
      <c r="C41" s="121">
        <f ca="1">SUM(C37:(OFFSET(C41,-1,0)))</f>
        <v>20</v>
      </c>
      <c r="D41" s="247" t="s">
        <v>282</v>
      </c>
      <c r="E41" s="436" t="s">
        <v>292</v>
      </c>
      <c r="F41" s="437"/>
      <c r="G41" s="438"/>
      <c r="H41" s="3"/>
      <c r="I41" s="3"/>
      <c r="J41" s="3"/>
      <c r="K41" s="10"/>
    </row>
    <row r="42" spans="1:11">
      <c r="A42" s="3"/>
      <c r="B42" s="3"/>
      <c r="C42" s="309"/>
      <c r="D42" s="246" t="s">
        <v>283</v>
      </c>
      <c r="E42" s="252">
        <f>'Material Analysis'!I10</f>
        <v>220.5</v>
      </c>
      <c r="F42" s="250" t="s">
        <v>281</v>
      </c>
      <c r="G42" s="251"/>
      <c r="H42" s="3"/>
      <c r="I42" s="3"/>
      <c r="J42" s="3"/>
      <c r="K42" s="10"/>
    </row>
    <row r="43" spans="1:11">
      <c r="D43" s="246" t="s">
        <v>284</v>
      </c>
      <c r="E43" s="252" t="s">
        <v>287</v>
      </c>
      <c r="F43" s="248" t="s">
        <v>285</v>
      </c>
      <c r="G43" s="254">
        <f>VLOOKUP(E43,BrickBond,2,0)</f>
        <v>60</v>
      </c>
      <c r="H43" s="3"/>
      <c r="I43" s="3"/>
      <c r="J43" s="3"/>
      <c r="K43" s="10"/>
    </row>
    <row r="44" spans="1:11" ht="15" customHeight="1">
      <c r="D44" s="247" t="s">
        <v>291</v>
      </c>
      <c r="E44" s="253">
        <f>'Material Analysis'!H46</f>
        <v>0.05</v>
      </c>
      <c r="F44" s="68"/>
      <c r="G44" s="249"/>
      <c r="H44" s="3"/>
      <c r="I44" s="3"/>
      <c r="J44" s="3"/>
      <c r="K44" s="10"/>
    </row>
    <row r="45" spans="1:11" ht="15" customHeight="1">
      <c r="D45" s="37"/>
      <c r="E45" s="32" t="s">
        <v>27</v>
      </c>
      <c r="F45" s="32" t="s">
        <v>25</v>
      </c>
      <c r="G45" s="32" t="s">
        <v>23</v>
      </c>
    </row>
    <row r="46" spans="1:11">
      <c r="D46" s="38"/>
      <c r="E46" s="33">
        <v>675</v>
      </c>
      <c r="F46" s="33">
        <v>2</v>
      </c>
      <c r="G46" s="33">
        <f ca="1">$C41*(E46/1000)*(F46)</f>
        <v>27</v>
      </c>
    </row>
    <row r="47" spans="1:11" ht="17.25">
      <c r="D47" s="36">
        <f>SUM('Labour Analysis'!B36/(1000/G43))</f>
        <v>16.5</v>
      </c>
      <c r="E47" s="31">
        <v>0</v>
      </c>
      <c r="F47" s="31">
        <f>ROUNDUP(SUM(E42/(1000/G43)),0)</f>
        <v>14</v>
      </c>
      <c r="G47" s="31">
        <v>0</v>
      </c>
      <c r="H47" s="25">
        <f ca="1">$G46</f>
        <v>27</v>
      </c>
      <c r="I47" s="25" t="s">
        <v>13</v>
      </c>
      <c r="J47" s="41">
        <f>SUM(D47:G47)</f>
        <v>30.5</v>
      </c>
      <c r="K47" s="42">
        <f ca="1">SUM(H47*J47)</f>
        <v>823.5</v>
      </c>
    </row>
    <row r="48" spans="1:11">
      <c r="E48" s="311"/>
      <c r="F48" s="311"/>
    </row>
    <row r="49" spans="2:11">
      <c r="E49" s="420" t="s">
        <v>37</v>
      </c>
      <c r="F49" s="420"/>
    </row>
    <row r="50" spans="2:11" ht="15" customHeight="1">
      <c r="D50" s="408" t="s">
        <v>29</v>
      </c>
      <c r="E50" s="409"/>
      <c r="F50" s="409"/>
      <c r="G50" s="409"/>
    </row>
    <row r="51" spans="2:11">
      <c r="D51" s="408"/>
      <c r="E51" s="409"/>
      <c r="F51" s="409"/>
      <c r="G51" s="409"/>
    </row>
    <row r="52" spans="2:11">
      <c r="D52" s="37"/>
      <c r="E52" s="32" t="s">
        <v>30</v>
      </c>
      <c r="F52" s="35" t="s">
        <v>75</v>
      </c>
      <c r="G52" s="34"/>
    </row>
    <row r="53" spans="2:11">
      <c r="D53" s="38"/>
      <c r="E53" s="33">
        <v>4</v>
      </c>
      <c r="F53" s="34">
        <f ca="1">SUM($C41*E53)</f>
        <v>80</v>
      </c>
      <c r="G53" s="34"/>
    </row>
    <row r="54" spans="2:11">
      <c r="D54" s="39">
        <f>'Labour Analysis'!E39*0.04</f>
        <v>0.8</v>
      </c>
      <c r="E54" s="34">
        <v>0</v>
      </c>
      <c r="F54" s="34">
        <f>'Material Analysis'!I108</f>
        <v>1.4000000000000001</v>
      </c>
      <c r="G54" s="34">
        <v>0</v>
      </c>
      <c r="H54" s="25">
        <f ca="1">$F53</f>
        <v>80</v>
      </c>
      <c r="I54" s="30" t="s">
        <v>39</v>
      </c>
      <c r="J54" s="41">
        <f>SUM(D54:G54)</f>
        <v>2.2000000000000002</v>
      </c>
      <c r="K54" s="42">
        <f ca="1">SUM(H54*J54)</f>
        <v>176</v>
      </c>
    </row>
    <row r="55" spans="2:11" ht="15" customHeight="1">
      <c r="E55" s="311"/>
      <c r="F55" s="311"/>
    </row>
    <row r="56" spans="2:11">
      <c r="E56" s="311"/>
      <c r="F56" s="311"/>
    </row>
    <row r="57" spans="2:11" ht="15" customHeight="1">
      <c r="E57" s="232"/>
      <c r="F57" s="232"/>
    </row>
    <row r="58" spans="2:11">
      <c r="E58" s="311"/>
      <c r="F58" s="311"/>
    </row>
    <row r="59" spans="2:11">
      <c r="E59" s="311"/>
      <c r="F59" s="311"/>
    </row>
    <row r="60" spans="2:11" ht="15" customHeight="1">
      <c r="E60" s="311"/>
      <c r="F60" s="311"/>
    </row>
    <row r="61" spans="2:11" ht="15.75" thickBot="1">
      <c r="E61" s="311"/>
      <c r="F61" s="311"/>
    </row>
    <row r="62" spans="2:11" ht="17.25" thickTop="1" thickBot="1">
      <c r="B62" s="405" t="s">
        <v>36</v>
      </c>
      <c r="C62" s="406"/>
      <c r="D62" s="72">
        <f ca="1">SUMPRODUCT(D1:D61,$H1:$H61)</f>
        <v>1820.2187500000002</v>
      </c>
      <c r="E62" s="72">
        <f ca="1">SUMPRODUCT(E1:E61,$H1:$H61)</f>
        <v>0</v>
      </c>
      <c r="F62" s="72">
        <f ca="1">SUMPRODUCT(F1:F61,$H1:$H61)</f>
        <v>2089.9225000000001</v>
      </c>
      <c r="G62" s="72">
        <f ca="1">SUMPRODUCT(G1:G61,$H1:$H61)</f>
        <v>0</v>
      </c>
      <c r="H62" s="57">
        <f ca="1">SUM(D62:G62)</f>
        <v>3910.1412500000006</v>
      </c>
      <c r="I62" s="54"/>
      <c r="J62" s="199"/>
      <c r="K62" s="56">
        <f ca="1">SUM(K4:K61)</f>
        <v>3910.1412499999997</v>
      </c>
    </row>
    <row r="63" spans="2:11">
      <c r="K63" s="58" t="str">
        <f ca="1">IF((H62+J62)=K62,"Correct")</f>
        <v>Correct</v>
      </c>
    </row>
    <row r="64" spans="2:11" ht="15" customHeight="1"/>
    <row r="65" ht="15" customHeight="1"/>
    <row r="66" ht="15" customHeight="1"/>
    <row r="102" ht="15" customHeight="1"/>
    <row r="107" ht="15" customHeight="1"/>
    <row r="125" ht="15" customHeight="1"/>
  </sheetData>
  <sheetProtection sheet="1" objects="1" scenarios="1" selectLockedCells="1" selectUnlockedCells="1"/>
  <mergeCells count="21">
    <mergeCell ref="E8:G8"/>
    <mergeCell ref="D17:G17"/>
    <mergeCell ref="F18:G18"/>
    <mergeCell ref="D5:G7"/>
    <mergeCell ref="K2:K3"/>
    <mergeCell ref="J2:J3"/>
    <mergeCell ref="A2:A3"/>
    <mergeCell ref="B2:C3"/>
    <mergeCell ref="D2:G2"/>
    <mergeCell ref="H2:H3"/>
    <mergeCell ref="I2:I3"/>
    <mergeCell ref="B62:C62"/>
    <mergeCell ref="E16:F16"/>
    <mergeCell ref="E23:F23"/>
    <mergeCell ref="D24:G25"/>
    <mergeCell ref="E30:F30"/>
    <mergeCell ref="D31:G32"/>
    <mergeCell ref="D38:G40"/>
    <mergeCell ref="E41:G41"/>
    <mergeCell ref="E49:F49"/>
    <mergeCell ref="D50:G51"/>
  </mergeCells>
  <dataValidations disablePrompts="1" count="1">
    <dataValidation type="list" allowBlank="1" showInputMessage="1" showErrorMessage="1" sqref="E10 E43">
      <formula1>Bond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B.E.S.Ltd&amp;C&amp;P of &amp;N&amp;R&amp;A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K89"/>
  <sheetViews>
    <sheetView view="pageLayout" topLeftCell="A19" workbookViewId="0">
      <selection activeCell="A5" sqref="A5:C11"/>
    </sheetView>
  </sheetViews>
  <sheetFormatPr defaultRowHeight="15"/>
  <cols>
    <col min="1" max="2" width="10.5703125" style="29" customWidth="1"/>
    <col min="3" max="3" width="10.5703125" style="14" customWidth="1"/>
    <col min="4" max="4" width="9.28515625" style="9" bestFit="1" customWidth="1"/>
    <col min="5" max="5" width="9.28515625" style="223" customWidth="1"/>
    <col min="6" max="6" width="9.28515625" style="223" bestFit="1" customWidth="1"/>
    <col min="7" max="7" width="9.28515625" style="17" customWidth="1"/>
    <col min="8" max="8" width="10.5703125" style="4" customWidth="1"/>
    <col min="9" max="9" width="5.140625" style="4" customWidth="1"/>
    <col min="10" max="10" width="10.5703125" style="4" customWidth="1"/>
    <col min="11" max="11" width="11.28515625" style="11" customWidth="1"/>
  </cols>
  <sheetData>
    <row r="1" spans="1:11">
      <c r="A1" s="111" t="s">
        <v>467</v>
      </c>
      <c r="B1" s="46"/>
      <c r="C1" s="45"/>
      <c r="D1" s="219"/>
      <c r="E1" s="219"/>
      <c r="F1" s="219"/>
      <c r="G1" s="219"/>
      <c r="H1" s="106"/>
      <c r="I1" s="106"/>
      <c r="J1" s="106"/>
      <c r="K1" s="61"/>
    </row>
    <row r="2" spans="1:11" s="1" customFormat="1">
      <c r="A2" s="421" t="s">
        <v>0</v>
      </c>
      <c r="B2" s="421" t="s">
        <v>1</v>
      </c>
      <c r="C2" s="425"/>
      <c r="D2" s="432" t="s">
        <v>2</v>
      </c>
      <c r="E2" s="425"/>
      <c r="F2" s="425"/>
      <c r="G2" s="433"/>
      <c r="H2" s="423" t="s">
        <v>6</v>
      </c>
      <c r="I2" s="423" t="s">
        <v>7</v>
      </c>
      <c r="J2" s="430" t="s">
        <v>8</v>
      </c>
      <c r="K2" s="434" t="s">
        <v>9</v>
      </c>
    </row>
    <row r="3" spans="1:11" s="6" customFormat="1">
      <c r="A3" s="422"/>
      <c r="B3" s="422"/>
      <c r="C3" s="426"/>
      <c r="D3" s="7" t="s">
        <v>3</v>
      </c>
      <c r="E3" s="220" t="s">
        <v>4</v>
      </c>
      <c r="F3" s="220" t="s">
        <v>5</v>
      </c>
      <c r="G3" s="221" t="s">
        <v>45</v>
      </c>
      <c r="H3" s="424"/>
      <c r="I3" s="424"/>
      <c r="J3" s="431"/>
      <c r="K3" s="435"/>
    </row>
    <row r="4" spans="1:11">
      <c r="A4" s="3"/>
      <c r="B4" s="41"/>
      <c r="C4" s="218"/>
      <c r="D4" s="8"/>
      <c r="E4" s="228"/>
      <c r="F4" s="228"/>
      <c r="G4" s="15"/>
      <c r="H4" s="2"/>
      <c r="I4" s="2"/>
      <c r="J4" s="2"/>
      <c r="K4" s="10"/>
    </row>
    <row r="5" spans="1:11" ht="15" customHeight="1">
      <c r="A5" s="41">
        <v>1</v>
      </c>
      <c r="B5" s="41">
        <v>8.1999999999999993</v>
      </c>
      <c r="C5" s="447">
        <f>A5*(B5*B6)</f>
        <v>44.28</v>
      </c>
      <c r="D5" s="408" t="s">
        <v>31</v>
      </c>
      <c r="E5" s="409"/>
      <c r="F5" s="409"/>
      <c r="G5" s="409"/>
    </row>
    <row r="6" spans="1:11" ht="15" customHeight="1">
      <c r="A6" s="41"/>
      <c r="B6" s="41">
        <v>5.4</v>
      </c>
      <c r="C6" s="447"/>
      <c r="D6" s="408"/>
      <c r="E6" s="409"/>
      <c r="F6" s="409"/>
      <c r="G6" s="409"/>
    </row>
    <row r="7" spans="1:11" ht="17.25">
      <c r="A7" s="41">
        <v>1</v>
      </c>
      <c r="B7" s="41">
        <v>2.7</v>
      </c>
      <c r="C7" s="447">
        <f>A7*(B7*B8)</f>
        <v>8.91</v>
      </c>
      <c r="D7" s="39">
        <v>0</v>
      </c>
      <c r="E7" s="34">
        <v>0</v>
      </c>
      <c r="F7" s="34">
        <v>0</v>
      </c>
      <c r="G7" s="34">
        <v>20</v>
      </c>
      <c r="H7" s="27">
        <f ca="1">$C11</f>
        <v>75.015000000000001</v>
      </c>
      <c r="I7" s="30" t="s">
        <v>13</v>
      </c>
      <c r="J7" s="41">
        <f>SUM(D7:G7)</f>
        <v>20</v>
      </c>
      <c r="K7" s="42">
        <f ca="1">SUM(H7*J7)</f>
        <v>1500.3</v>
      </c>
    </row>
    <row r="8" spans="1:11">
      <c r="A8" s="41"/>
      <c r="B8" s="41">
        <v>3.3</v>
      </c>
      <c r="C8" s="427"/>
    </row>
    <row r="9" spans="1:11" ht="15" customHeight="1">
      <c r="A9" s="41">
        <v>1</v>
      </c>
      <c r="B9" s="41">
        <v>4.5</v>
      </c>
      <c r="C9" s="447">
        <f>A9*(B9*B10)</f>
        <v>21.824999999999999</v>
      </c>
      <c r="E9" s="420" t="s">
        <v>37</v>
      </c>
      <c r="F9" s="420"/>
    </row>
    <row r="10" spans="1:11" ht="15.75" thickBot="1">
      <c r="A10" s="41"/>
      <c r="B10" s="41">
        <v>4.8499999999999996</v>
      </c>
      <c r="C10" s="427"/>
      <c r="D10" s="408" t="s">
        <v>32</v>
      </c>
      <c r="E10" s="409"/>
      <c r="F10" s="409"/>
      <c r="G10" s="409"/>
    </row>
    <row r="11" spans="1:11" ht="18" thickBot="1">
      <c r="C11" s="121">
        <f ca="1">SUM(C5:(OFFSET(C11,-1,0)))</f>
        <v>75.015000000000001</v>
      </c>
      <c r="D11" s="39">
        <f>'Labour Analysis'!E21*0.143</f>
        <v>2.5024999999999999</v>
      </c>
      <c r="E11" s="34">
        <v>0</v>
      </c>
      <c r="F11" s="34">
        <f>'Material Analysis'!I109</f>
        <v>4.8</v>
      </c>
      <c r="G11" s="34">
        <v>0</v>
      </c>
      <c r="H11" s="27">
        <f ca="1">$C11</f>
        <v>75.015000000000001</v>
      </c>
      <c r="I11" s="30" t="s">
        <v>13</v>
      </c>
      <c r="J11" s="41">
        <f>SUM(D11:G11)</f>
        <v>7.3025000000000002</v>
      </c>
      <c r="K11" s="42">
        <f ca="1">SUM(H11*J11)</f>
        <v>547.79703749999999</v>
      </c>
    </row>
    <row r="13" spans="1:11" ht="15" customHeight="1">
      <c r="E13" s="420" t="s">
        <v>37</v>
      </c>
      <c r="F13" s="420"/>
    </row>
    <row r="14" spans="1:11">
      <c r="D14" s="408" t="s">
        <v>33</v>
      </c>
      <c r="E14" s="409"/>
      <c r="F14" s="409"/>
      <c r="G14" s="409"/>
    </row>
    <row r="15" spans="1:11" ht="17.25">
      <c r="D15" s="39">
        <f>'Labour Analysis'!E21*0.0855</f>
        <v>1.4962500000000001</v>
      </c>
      <c r="E15" s="34">
        <v>0</v>
      </c>
      <c r="F15" s="34">
        <f>'Material Analysis'!I110</f>
        <v>1.6</v>
      </c>
      <c r="G15" s="34">
        <v>0</v>
      </c>
      <c r="H15" s="27">
        <f ca="1">$C11</f>
        <v>75.015000000000001</v>
      </c>
      <c r="I15" s="30" t="s">
        <v>13</v>
      </c>
      <c r="J15" s="41">
        <f>SUM(D15:G15)</f>
        <v>3.0962500000000004</v>
      </c>
      <c r="K15" s="42">
        <f ca="1">SUM(H15*J15)</f>
        <v>232.26519375000004</v>
      </c>
    </row>
    <row r="17" spans="4:11">
      <c r="E17" s="420" t="s">
        <v>37</v>
      </c>
      <c r="F17" s="420"/>
    </row>
    <row r="18" spans="4:11">
      <c r="D18" s="408" t="s">
        <v>34</v>
      </c>
      <c r="E18" s="409"/>
      <c r="F18" s="409"/>
      <c r="G18" s="409"/>
    </row>
    <row r="19" spans="4:11">
      <c r="D19" s="302" t="s">
        <v>282</v>
      </c>
      <c r="E19" s="444" t="str">
        <f>'Material Analysis'!C38</f>
        <v>Celotex</v>
      </c>
      <c r="F19" s="445"/>
      <c r="G19" s="446"/>
    </row>
    <row r="20" spans="4:11">
      <c r="D20" s="294" t="s">
        <v>728</v>
      </c>
      <c r="E20" s="444" t="str">
        <f>'Material Analysis'!D38</f>
        <v>XR</v>
      </c>
      <c r="F20" s="445"/>
      <c r="G20" s="446"/>
    </row>
    <row r="21" spans="4:11" ht="15" customHeight="1">
      <c r="D21" s="293" t="s">
        <v>686</v>
      </c>
      <c r="E21" s="444" t="str">
        <f>'Material Analysis'!E38</f>
        <v>XR4165 - 165mm thick</v>
      </c>
      <c r="F21" s="445"/>
      <c r="G21" s="446"/>
      <c r="H21" s="3"/>
      <c r="I21" s="3"/>
      <c r="J21" s="3"/>
      <c r="K21" s="10"/>
    </row>
    <row r="22" spans="4:11" ht="17.25">
      <c r="D22" s="36">
        <f>'Labour Analysis'!E21*0.2</f>
        <v>3.5</v>
      </c>
      <c r="E22" s="31">
        <v>0</v>
      </c>
      <c r="F22" s="31">
        <f>'Material Analysis'!I38</f>
        <v>21.6</v>
      </c>
      <c r="G22" s="31">
        <v>0</v>
      </c>
      <c r="H22" s="25">
        <f ca="1">$C11</f>
        <v>75.015000000000001</v>
      </c>
      <c r="I22" s="25" t="s">
        <v>13</v>
      </c>
      <c r="J22" s="41">
        <f>SUM(D22:G22)</f>
        <v>25.1</v>
      </c>
      <c r="K22" s="42">
        <f ca="1">SUM(H22*J22)</f>
        <v>1882.8765000000001</v>
      </c>
    </row>
    <row r="23" spans="4:11" ht="15" customHeight="1"/>
    <row r="24" spans="4:11" ht="15" customHeight="1">
      <c r="E24" s="420" t="s">
        <v>37</v>
      </c>
      <c r="F24" s="420"/>
    </row>
    <row r="25" spans="4:11">
      <c r="D25" s="416" t="s">
        <v>35</v>
      </c>
      <c r="E25" s="417"/>
      <c r="F25" s="417"/>
      <c r="G25" s="417"/>
    </row>
    <row r="26" spans="4:11" ht="17.25">
      <c r="D26" s="39">
        <f>'Labour Analysis'!E21*0.0855</f>
        <v>1.4962500000000001</v>
      </c>
      <c r="E26" s="34">
        <v>0</v>
      </c>
      <c r="F26" s="34">
        <f>'Material Analysis'!I111</f>
        <v>1.6</v>
      </c>
      <c r="G26" s="34">
        <v>0</v>
      </c>
      <c r="H26" s="27">
        <f ca="1">$C11</f>
        <v>75.015000000000001</v>
      </c>
      <c r="I26" s="30" t="s">
        <v>13</v>
      </c>
      <c r="J26" s="41">
        <f>SUM(D26:G26)</f>
        <v>3.0962500000000004</v>
      </c>
      <c r="K26" s="42">
        <f ca="1">SUM(H26*J26)</f>
        <v>232.26519375000004</v>
      </c>
    </row>
    <row r="28" spans="4:11">
      <c r="E28" s="420" t="s">
        <v>37</v>
      </c>
      <c r="F28" s="420"/>
    </row>
    <row r="29" spans="4:11" ht="15" customHeight="1">
      <c r="D29" s="448" t="s">
        <v>239</v>
      </c>
      <c r="E29" s="449"/>
      <c r="F29" s="449"/>
      <c r="G29" s="450"/>
    </row>
    <row r="30" spans="4:11" ht="15" customHeight="1">
      <c r="D30" s="451"/>
      <c r="E30" s="452"/>
      <c r="F30" s="452"/>
      <c r="G30" s="453"/>
    </row>
    <row r="31" spans="4:11" ht="15" customHeight="1">
      <c r="D31" s="454"/>
      <c r="E31" s="455"/>
      <c r="F31" s="455"/>
      <c r="G31" s="456"/>
    </row>
    <row r="32" spans="4:11" ht="15" customHeight="1">
      <c r="D32" s="39">
        <v>0</v>
      </c>
      <c r="E32" s="34">
        <v>0</v>
      </c>
      <c r="F32" s="34">
        <v>0</v>
      </c>
      <c r="G32" s="34">
        <v>35</v>
      </c>
      <c r="H32" s="27">
        <f ca="1">$C11</f>
        <v>75.015000000000001</v>
      </c>
      <c r="I32" s="30" t="s">
        <v>13</v>
      </c>
      <c r="J32" s="41">
        <f>SUM(D32:G32)</f>
        <v>35</v>
      </c>
      <c r="K32" s="42">
        <f ca="1">SUM(H32*J32)</f>
        <v>2625.5250000000001</v>
      </c>
    </row>
    <row r="33" spans="1:11">
      <c r="H33" s="47"/>
    </row>
    <row r="34" spans="1:11">
      <c r="E34" s="420" t="s">
        <v>37</v>
      </c>
      <c r="F34" s="420"/>
    </row>
    <row r="35" spans="1:11">
      <c r="D35" s="416" t="s">
        <v>240</v>
      </c>
      <c r="E35" s="417"/>
      <c r="F35" s="417"/>
      <c r="G35" s="417"/>
    </row>
    <row r="36" spans="1:11" ht="17.25">
      <c r="D36" s="39">
        <v>0.5</v>
      </c>
      <c r="E36" s="34">
        <v>0</v>
      </c>
      <c r="F36" s="34">
        <v>0.5</v>
      </c>
      <c r="G36" s="34">
        <v>0</v>
      </c>
      <c r="H36" s="27">
        <f ca="1">$C11</f>
        <v>75.015000000000001</v>
      </c>
      <c r="I36" s="30" t="s">
        <v>13</v>
      </c>
      <c r="J36" s="41">
        <f>SUM(D36:G36)</f>
        <v>1</v>
      </c>
      <c r="K36" s="42">
        <f ca="1">SUM(H36*J36)</f>
        <v>75.015000000000001</v>
      </c>
    </row>
    <row r="37" spans="1:11">
      <c r="H37" s="47"/>
    </row>
    <row r="38" spans="1:11">
      <c r="H38" s="47"/>
    </row>
    <row r="39" spans="1:11" ht="15" customHeight="1">
      <c r="A39" s="27">
        <v>2</v>
      </c>
      <c r="B39" s="27">
        <v>8.1999999999999993</v>
      </c>
      <c r="C39" s="318">
        <f>A39*B39</f>
        <v>16.399999999999999</v>
      </c>
      <c r="D39" s="408" t="s">
        <v>892</v>
      </c>
      <c r="E39" s="409"/>
      <c r="F39" s="409"/>
      <c r="G39" s="409"/>
    </row>
    <row r="40" spans="1:11">
      <c r="A40" s="25">
        <v>2</v>
      </c>
      <c r="B40" s="25">
        <v>10.3</v>
      </c>
      <c r="C40" s="317">
        <f>A40*B40</f>
        <v>20.6</v>
      </c>
      <c r="D40" s="37"/>
      <c r="E40" s="32" t="s">
        <v>27</v>
      </c>
      <c r="F40" s="35" t="s">
        <v>23</v>
      </c>
      <c r="G40" s="34"/>
    </row>
    <row r="41" spans="1:11">
      <c r="A41" s="27">
        <v>2</v>
      </c>
      <c r="B41" s="27">
        <v>2.7</v>
      </c>
      <c r="C41" s="323">
        <f>A41*B41</f>
        <v>5.4</v>
      </c>
      <c r="D41" s="38"/>
      <c r="E41" s="33">
        <v>75</v>
      </c>
      <c r="F41" s="34">
        <f ca="1">SUM(C43*(E41/1000))</f>
        <v>3.6749999999999998</v>
      </c>
      <c r="G41" s="34"/>
    </row>
    <row r="42" spans="1:11" ht="15.75" thickBot="1">
      <c r="A42" s="25">
        <v>2</v>
      </c>
      <c r="B42" s="25">
        <v>3.3</v>
      </c>
      <c r="C42" s="322">
        <f>A42*B42</f>
        <v>6.6</v>
      </c>
      <c r="D42" s="302" t="s">
        <v>282</v>
      </c>
      <c r="E42" s="444" t="str">
        <f>'Material Analysis'!C39</f>
        <v>Celotex</v>
      </c>
      <c r="F42" s="445"/>
      <c r="G42" s="446"/>
      <c r="H42" s="3"/>
      <c r="I42" s="3"/>
      <c r="J42" s="3"/>
      <c r="K42" s="10"/>
    </row>
    <row r="43" spans="1:11" ht="15.75" thickBot="1">
      <c r="A43" s="180"/>
      <c r="B43" s="179"/>
      <c r="C43" s="121">
        <f ca="1">SUM(C39:(OFFSET(C43,-1,0)))</f>
        <v>49</v>
      </c>
      <c r="D43" s="294" t="s">
        <v>728</v>
      </c>
      <c r="E43" s="444" t="str">
        <f>'Material Analysis'!D39</f>
        <v>TB</v>
      </c>
      <c r="F43" s="445"/>
      <c r="G43" s="446"/>
      <c r="H43" s="3"/>
      <c r="I43" s="3"/>
      <c r="J43" s="3"/>
      <c r="K43" s="10"/>
    </row>
    <row r="44" spans="1:11">
      <c r="D44" s="293" t="s">
        <v>686</v>
      </c>
      <c r="E44" s="444" t="str">
        <f>'Material Analysis'!E39</f>
        <v>TB4025 - 25mm thick</v>
      </c>
      <c r="F44" s="445"/>
      <c r="G44" s="446"/>
      <c r="H44" s="3"/>
      <c r="I44" s="3"/>
      <c r="J44" s="3"/>
      <c r="K44" s="10"/>
    </row>
    <row r="45" spans="1:11" ht="17.25">
      <c r="D45" s="36">
        <f>'Labour Analysis'!E21*0.2</f>
        <v>3.5</v>
      </c>
      <c r="E45" s="31">
        <v>0</v>
      </c>
      <c r="F45" s="31">
        <f>'Material Analysis'!I39</f>
        <v>9</v>
      </c>
      <c r="G45" s="31">
        <v>0</v>
      </c>
      <c r="H45" s="25">
        <f ca="1">F41</f>
        <v>3.6749999999999998</v>
      </c>
      <c r="I45" s="25" t="s">
        <v>13</v>
      </c>
      <c r="J45" s="41">
        <f>SUM(D45:G45)</f>
        <v>12.5</v>
      </c>
      <c r="K45" s="42">
        <f ca="1">SUM(H45*J45)</f>
        <v>45.9375</v>
      </c>
    </row>
    <row r="46" spans="1:11">
      <c r="H46" s="29"/>
      <c r="I46" s="2"/>
      <c r="J46" s="3"/>
      <c r="K46" s="10"/>
    </row>
    <row r="47" spans="1:11">
      <c r="H47" s="29"/>
      <c r="I47" s="2"/>
      <c r="J47" s="3"/>
      <c r="K47" s="10"/>
    </row>
    <row r="48" spans="1:11">
      <c r="H48" s="29"/>
      <c r="I48" s="2"/>
      <c r="J48" s="3"/>
      <c r="K48" s="10"/>
    </row>
    <row r="49" spans="2:11">
      <c r="H49" s="29"/>
      <c r="I49" s="2"/>
      <c r="J49" s="3"/>
      <c r="K49" s="10"/>
    </row>
    <row r="50" spans="2:11">
      <c r="H50" s="29"/>
      <c r="I50" s="2"/>
      <c r="J50" s="3"/>
      <c r="K50" s="10"/>
    </row>
    <row r="51" spans="2:11" ht="15" customHeight="1">
      <c r="H51" s="29"/>
      <c r="I51" s="2"/>
      <c r="J51" s="3"/>
      <c r="K51" s="10"/>
    </row>
    <row r="52" spans="2:11" ht="15" customHeight="1">
      <c r="H52" s="29"/>
      <c r="I52" s="2"/>
      <c r="J52" s="3"/>
      <c r="K52" s="10"/>
    </row>
    <row r="53" spans="2:11" ht="15" customHeight="1">
      <c r="H53" s="29"/>
      <c r="I53" s="2"/>
      <c r="J53" s="3"/>
      <c r="K53" s="10"/>
    </row>
    <row r="54" spans="2:11" ht="15" customHeight="1">
      <c r="H54" s="29"/>
      <c r="I54" s="2"/>
      <c r="J54" s="3"/>
      <c r="K54" s="10"/>
    </row>
    <row r="55" spans="2:11" ht="15" customHeight="1">
      <c r="H55" s="29"/>
      <c r="I55" s="2"/>
      <c r="J55" s="3"/>
      <c r="K55" s="10"/>
    </row>
    <row r="56" spans="2:11" ht="15" customHeight="1">
      <c r="H56" s="29"/>
      <c r="I56" s="2"/>
      <c r="J56" s="3"/>
      <c r="K56" s="10"/>
    </row>
    <row r="57" spans="2:11" ht="15" customHeight="1">
      <c r="H57" s="29"/>
      <c r="I57" s="2"/>
      <c r="J57" s="3"/>
      <c r="K57" s="10"/>
    </row>
    <row r="58" spans="2:11">
      <c r="H58" s="29"/>
      <c r="I58" s="2"/>
      <c r="J58" s="3"/>
      <c r="K58" s="10"/>
    </row>
    <row r="60" spans="2:11" ht="15.75" thickBot="1">
      <c r="H60" s="29"/>
      <c r="I60" s="2"/>
      <c r="J60" s="3"/>
      <c r="K60" s="10"/>
    </row>
    <row r="61" spans="2:11" ht="17.25" thickTop="1" thickBot="1">
      <c r="B61" s="405" t="s">
        <v>36</v>
      </c>
      <c r="C61" s="406"/>
      <c r="D61" s="72">
        <f ca="1">SUMPRODUCT(D1:D60,$H1:$H60)</f>
        <v>725.12992499999996</v>
      </c>
      <c r="E61" s="72">
        <f ca="1">SUMPRODUCT(E1:E60,$H1:$H60)</f>
        <v>0</v>
      </c>
      <c r="F61" s="72">
        <f ca="1">SUMPRODUCT(F1:F60,$H1:$H60)</f>
        <v>2291.0264999999999</v>
      </c>
      <c r="G61" s="72">
        <f ca="1">SUMPRODUCT(G1:G60,$H1:$H60)</f>
        <v>4125.8249999999998</v>
      </c>
      <c r="H61" s="57">
        <f ca="1">SUM(D61:G61)</f>
        <v>7141.9814249999999</v>
      </c>
      <c r="I61" s="54"/>
      <c r="J61" s="199"/>
      <c r="K61" s="56">
        <f ca="1">SUM(K4:K60)</f>
        <v>7141.9814250000009</v>
      </c>
    </row>
    <row r="62" spans="2:11">
      <c r="K62" s="58" t="str">
        <f ca="1">IF((H61+J61)=K61,"Correct")</f>
        <v>Correct</v>
      </c>
    </row>
    <row r="89" ht="15" customHeight="1"/>
  </sheetData>
  <sheetProtection sheet="1" objects="1" scenarios="1" selectLockedCells="1" selectUnlockedCells="1"/>
  <mergeCells count="31">
    <mergeCell ref="C9:C10"/>
    <mergeCell ref="A2:A3"/>
    <mergeCell ref="B2:C3"/>
    <mergeCell ref="D2:G2"/>
    <mergeCell ref="B61:C61"/>
    <mergeCell ref="D29:G31"/>
    <mergeCell ref="E34:F34"/>
    <mergeCell ref="D35:G35"/>
    <mergeCell ref="C5:C6"/>
    <mergeCell ref="C7:C8"/>
    <mergeCell ref="D14:G14"/>
    <mergeCell ref="E17:F17"/>
    <mergeCell ref="D18:G18"/>
    <mergeCell ref="E19:G19"/>
    <mergeCell ref="E20:G20"/>
    <mergeCell ref="E21:G21"/>
    <mergeCell ref="D39:G39"/>
    <mergeCell ref="E42:G42"/>
    <mergeCell ref="E43:G43"/>
    <mergeCell ref="E44:G44"/>
    <mergeCell ref="K2:K3"/>
    <mergeCell ref="J2:J3"/>
    <mergeCell ref="E24:F24"/>
    <mergeCell ref="D25:G25"/>
    <mergeCell ref="E28:F28"/>
    <mergeCell ref="I2:I3"/>
    <mergeCell ref="D5:G6"/>
    <mergeCell ref="E9:F9"/>
    <mergeCell ref="E13:F13"/>
    <mergeCell ref="H2:H3"/>
    <mergeCell ref="D10:G10"/>
  </mergeCells>
  <dataValidations disablePrompts="1" count="1">
    <dataValidation type="list" allowBlank="1" showInputMessage="1" showErrorMessage="1" sqref="D21 D44">
      <formula1>Insulation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B.E.S.Ltd&amp;C&amp;P of &amp;N&amp;R&amp;A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K146"/>
  <sheetViews>
    <sheetView view="pageLayout" topLeftCell="A84" workbookViewId="0">
      <selection activeCell="F122" sqref="F122"/>
    </sheetView>
  </sheetViews>
  <sheetFormatPr defaultRowHeight="15"/>
  <cols>
    <col min="1" max="3" width="10.5703125" style="4" customWidth="1"/>
    <col min="4" max="4" width="9.28515625" style="9" customWidth="1"/>
    <col min="5" max="5" width="10.7109375" style="68" bestFit="1" customWidth="1"/>
    <col min="6" max="6" width="10.42578125" style="68" customWidth="1"/>
    <col min="7" max="7" width="8.5703125" style="68" customWidth="1"/>
    <col min="8" max="8" width="9.42578125" style="29" customWidth="1"/>
    <col min="9" max="9" width="5.140625" style="29" customWidth="1"/>
    <col min="10" max="10" width="10.5703125" style="29" customWidth="1"/>
    <col min="11" max="11" width="11.28515625" style="11" bestFit="1" customWidth="1"/>
  </cols>
  <sheetData>
    <row r="1" spans="1:11">
      <c r="A1" s="108" t="s">
        <v>269</v>
      </c>
      <c r="B1" s="47"/>
      <c r="C1" s="47"/>
      <c r="D1" s="117"/>
      <c r="E1" s="83"/>
      <c r="F1" s="83"/>
      <c r="G1" s="83"/>
      <c r="H1" s="60"/>
      <c r="I1" s="60"/>
      <c r="J1" s="60"/>
      <c r="K1" s="61"/>
    </row>
    <row r="2" spans="1:11">
      <c r="A2" s="421" t="s">
        <v>0</v>
      </c>
      <c r="B2" s="421" t="s">
        <v>1</v>
      </c>
      <c r="C2" s="433"/>
      <c r="D2" s="432" t="s">
        <v>2</v>
      </c>
      <c r="E2" s="425"/>
      <c r="F2" s="425"/>
      <c r="G2" s="433"/>
      <c r="H2" s="421" t="s">
        <v>6</v>
      </c>
      <c r="I2" s="421" t="s">
        <v>7</v>
      </c>
      <c r="J2" s="421" t="s">
        <v>8</v>
      </c>
      <c r="K2" s="434" t="s">
        <v>9</v>
      </c>
    </row>
    <row r="3" spans="1:11">
      <c r="A3" s="422"/>
      <c r="B3" s="422"/>
      <c r="C3" s="461"/>
      <c r="D3" s="7" t="s">
        <v>3</v>
      </c>
      <c r="E3" s="40" t="s">
        <v>4</v>
      </c>
      <c r="F3" s="40" t="s">
        <v>5</v>
      </c>
      <c r="G3" s="40" t="s">
        <v>45</v>
      </c>
      <c r="H3" s="422"/>
      <c r="I3" s="422"/>
      <c r="J3" s="422"/>
      <c r="K3" s="435"/>
    </row>
    <row r="4" spans="1:11">
      <c r="A4" s="23"/>
      <c r="B4" s="23"/>
      <c r="C4" s="40"/>
      <c r="D4" s="19"/>
      <c r="E4" s="20"/>
      <c r="F4" s="20"/>
      <c r="G4" s="20"/>
      <c r="H4" s="22"/>
      <c r="I4" s="22"/>
      <c r="J4" s="22"/>
      <c r="K4" s="21"/>
    </row>
    <row r="5" spans="1:11" ht="15" customHeight="1">
      <c r="A5" s="41">
        <v>2</v>
      </c>
      <c r="B5" s="41">
        <v>8.5500000000000007</v>
      </c>
      <c r="C5" s="447">
        <f>A5*(B5*B6)</f>
        <v>85.5</v>
      </c>
      <c r="D5" s="448" t="s">
        <v>290</v>
      </c>
      <c r="E5" s="449"/>
      <c r="F5" s="449"/>
      <c r="G5" s="450"/>
      <c r="H5" s="3"/>
      <c r="I5" s="3"/>
      <c r="J5" s="3"/>
      <c r="K5" s="10"/>
    </row>
    <row r="6" spans="1:11">
      <c r="A6" s="41"/>
      <c r="B6" s="41">
        <v>5</v>
      </c>
      <c r="C6" s="447"/>
      <c r="D6" s="451"/>
      <c r="E6" s="452"/>
      <c r="F6" s="452"/>
      <c r="G6" s="453"/>
      <c r="H6" s="3"/>
      <c r="I6" s="3"/>
      <c r="J6" s="3"/>
      <c r="K6" s="10"/>
    </row>
    <row r="7" spans="1:11">
      <c r="A7" s="41">
        <v>2</v>
      </c>
      <c r="B7" s="41">
        <v>10.6</v>
      </c>
      <c r="C7" s="447">
        <f>A7*(B7*B8)</f>
        <v>106</v>
      </c>
      <c r="D7" s="451"/>
      <c r="E7" s="452"/>
      <c r="F7" s="452"/>
      <c r="G7" s="453"/>
      <c r="H7" s="3"/>
      <c r="I7" s="3"/>
      <c r="J7" s="3"/>
      <c r="K7" s="10"/>
    </row>
    <row r="8" spans="1:11">
      <c r="A8" s="41"/>
      <c r="B8" s="41">
        <v>5</v>
      </c>
      <c r="C8" s="447"/>
      <c r="D8" s="247" t="s">
        <v>282</v>
      </c>
      <c r="E8" s="436" t="s">
        <v>292</v>
      </c>
      <c r="F8" s="437"/>
      <c r="G8" s="438"/>
      <c r="H8" s="3"/>
      <c r="I8" s="3"/>
      <c r="J8" s="3"/>
      <c r="K8" s="10"/>
    </row>
    <row r="9" spans="1:11">
      <c r="A9" s="41">
        <v>1</v>
      </c>
      <c r="B9" s="41">
        <v>5.75</v>
      </c>
      <c r="C9" s="447">
        <f>A9*(B9*B10)</f>
        <v>12.075000000000001</v>
      </c>
      <c r="D9" s="246" t="s">
        <v>283</v>
      </c>
      <c r="E9" s="252">
        <f>'Material Analysis'!I12</f>
        <v>645</v>
      </c>
      <c r="F9" s="250" t="s">
        <v>281</v>
      </c>
      <c r="G9" s="251"/>
      <c r="H9" s="3"/>
      <c r="I9" s="3"/>
      <c r="J9" s="3"/>
      <c r="K9" s="10"/>
    </row>
    <row r="10" spans="1:11">
      <c r="A10" s="41"/>
      <c r="B10" s="41">
        <v>2.1</v>
      </c>
      <c r="C10" s="447"/>
      <c r="D10" s="246" t="s">
        <v>284</v>
      </c>
      <c r="E10" s="252" t="s">
        <v>287</v>
      </c>
      <c r="F10" s="248" t="s">
        <v>285</v>
      </c>
      <c r="G10" s="254">
        <f>VLOOKUP(E10,BrickBond,2,0)</f>
        <v>60</v>
      </c>
      <c r="H10" s="3"/>
      <c r="I10" s="3"/>
      <c r="J10" s="3"/>
      <c r="K10" s="10"/>
    </row>
    <row r="11" spans="1:11">
      <c r="A11" s="41">
        <v>0.5</v>
      </c>
      <c r="B11" s="41">
        <v>4.8</v>
      </c>
      <c r="C11" s="447">
        <f>A11*(B11*B12)</f>
        <v>4.32</v>
      </c>
      <c r="D11" s="247" t="s">
        <v>291</v>
      </c>
      <c r="E11" s="253">
        <f>'Material Analysis'!H12</f>
        <v>7.4999999999999997E-2</v>
      </c>
      <c r="G11" s="249"/>
      <c r="H11" s="3"/>
      <c r="I11" s="3"/>
      <c r="J11" s="3"/>
      <c r="K11" s="10"/>
    </row>
    <row r="12" spans="1:11" ht="17.25">
      <c r="A12" s="41"/>
      <c r="B12" s="41">
        <v>1.8</v>
      </c>
      <c r="C12" s="447"/>
      <c r="D12" s="36">
        <f>SUM('Labour Analysis'!$B$37/(1000/G10))</f>
        <v>24</v>
      </c>
      <c r="E12" s="31">
        <v>0</v>
      </c>
      <c r="F12" s="31">
        <f>ROUNDUP(SUM((((E9/(1000/G10)+3)))),0)</f>
        <v>42</v>
      </c>
      <c r="G12" s="31">
        <v>0</v>
      </c>
      <c r="H12" s="25">
        <f ca="1">$C37</f>
        <v>190.13499999999996</v>
      </c>
      <c r="I12" s="25" t="s">
        <v>13</v>
      </c>
      <c r="J12" s="41">
        <f>SUM(D12:G12)</f>
        <v>66</v>
      </c>
      <c r="K12" s="42">
        <f ca="1">SUM(H12*J12)</f>
        <v>12548.909999999998</v>
      </c>
    </row>
    <row r="13" spans="1:11">
      <c r="A13" s="41">
        <v>2</v>
      </c>
      <c r="B13" s="41">
        <v>3.05</v>
      </c>
      <c r="C13" s="447">
        <f>A13*(B13*B14)</f>
        <v>14.639999999999999</v>
      </c>
      <c r="D13" s="8"/>
      <c r="E13" s="12"/>
      <c r="F13" s="12"/>
      <c r="G13" s="12"/>
      <c r="H13" s="3"/>
      <c r="I13" s="3"/>
      <c r="J13" s="3"/>
      <c r="K13" s="10"/>
    </row>
    <row r="14" spans="1:11" ht="15.75" thickBot="1">
      <c r="A14" s="41"/>
      <c r="B14" s="41">
        <v>2.4</v>
      </c>
      <c r="C14" s="447"/>
      <c r="D14" s="8"/>
      <c r="E14" s="429" t="s">
        <v>37</v>
      </c>
      <c r="F14" s="429"/>
      <c r="G14" s="12"/>
      <c r="H14" s="3"/>
      <c r="I14" s="3"/>
      <c r="J14" s="3"/>
      <c r="K14" s="10"/>
    </row>
    <row r="15" spans="1:11" ht="15" customHeight="1" thickBot="1">
      <c r="A15" s="66"/>
      <c r="B15" s="41" t="s">
        <v>38</v>
      </c>
      <c r="C15" s="284">
        <f ca="1">SUM(C5:(OFFSET(C15,-1,0)))</f>
        <v>222.53499999999997</v>
      </c>
      <c r="D15" s="448" t="s">
        <v>308</v>
      </c>
      <c r="E15" s="449"/>
      <c r="F15" s="449"/>
      <c r="G15" s="450"/>
      <c r="H15" s="3"/>
      <c r="I15" s="3"/>
      <c r="J15" s="3"/>
      <c r="K15" s="10"/>
    </row>
    <row r="16" spans="1:11">
      <c r="A16" s="66">
        <v>2</v>
      </c>
      <c r="B16" s="41">
        <v>1</v>
      </c>
      <c r="C16" s="457">
        <f>A16*(B16*B17)</f>
        <v>4.2</v>
      </c>
      <c r="D16" s="454"/>
      <c r="E16" s="455"/>
      <c r="F16" s="455"/>
      <c r="G16" s="456"/>
      <c r="H16" s="3"/>
      <c r="I16" s="3"/>
      <c r="J16" s="3"/>
      <c r="K16" s="10"/>
    </row>
    <row r="17" spans="1:11">
      <c r="A17" s="41"/>
      <c r="B17" s="41">
        <v>2.1</v>
      </c>
      <c r="C17" s="447"/>
      <c r="D17" s="302" t="s">
        <v>282</v>
      </c>
      <c r="E17" s="444" t="str">
        <f>'Material Analysis'!C40</f>
        <v>Celotex</v>
      </c>
      <c r="F17" s="445"/>
      <c r="G17" s="446"/>
      <c r="H17" s="3"/>
      <c r="I17" s="3"/>
      <c r="J17" s="3"/>
      <c r="K17" s="10"/>
    </row>
    <row r="18" spans="1:11">
      <c r="A18" s="41">
        <v>3</v>
      </c>
      <c r="B18" s="41">
        <v>1.25</v>
      </c>
      <c r="C18" s="447">
        <f>A18*(B18*B19)</f>
        <v>5.0625</v>
      </c>
      <c r="D18" s="294" t="s">
        <v>728</v>
      </c>
      <c r="E18" s="444" t="str">
        <f>'Material Analysis'!D40</f>
        <v>GA</v>
      </c>
      <c r="F18" s="445"/>
      <c r="G18" s="446"/>
      <c r="H18" s="3"/>
      <c r="I18" s="3"/>
      <c r="J18" s="3"/>
      <c r="K18" s="10"/>
    </row>
    <row r="19" spans="1:11" ht="15" customHeight="1">
      <c r="A19" s="41"/>
      <c r="B19" s="41">
        <v>1.35</v>
      </c>
      <c r="C19" s="447"/>
      <c r="D19" s="293" t="s">
        <v>686</v>
      </c>
      <c r="E19" s="444" t="str">
        <f>'Material Analysis'!E40</f>
        <v>GA4100 - 100mm thick</v>
      </c>
      <c r="F19" s="445"/>
      <c r="G19" s="446"/>
      <c r="H19" s="3"/>
      <c r="I19" s="3"/>
      <c r="J19" s="3"/>
      <c r="K19" s="10"/>
    </row>
    <row r="20" spans="1:11" ht="17.25">
      <c r="A20" s="41">
        <v>1</v>
      </c>
      <c r="B20" s="41">
        <v>1.25</v>
      </c>
      <c r="C20" s="447">
        <f>A20*(B20*B21)</f>
        <v>1.3125</v>
      </c>
      <c r="D20" s="36">
        <f>'Labour Analysis'!E39*0.2</f>
        <v>4</v>
      </c>
      <c r="E20" s="31">
        <v>0</v>
      </c>
      <c r="F20" s="31">
        <f>'Material Analysis'!I40</f>
        <v>13.2</v>
      </c>
      <c r="G20" s="31">
        <v>0</v>
      </c>
      <c r="H20" s="25">
        <f ca="1">$C37</f>
        <v>190.13499999999996</v>
      </c>
      <c r="I20" s="25" t="s">
        <v>13</v>
      </c>
      <c r="J20" s="41">
        <f>SUM(D20:G20)</f>
        <v>17.2</v>
      </c>
      <c r="K20" s="42">
        <f ca="1">SUM(H20*J20)</f>
        <v>3270.3219999999992</v>
      </c>
    </row>
    <row r="21" spans="1:11">
      <c r="A21" s="41"/>
      <c r="B21" s="41">
        <v>1.05</v>
      </c>
      <c r="C21" s="447"/>
      <c r="D21" s="8"/>
      <c r="E21" s="12"/>
      <c r="F21" s="12"/>
      <c r="G21" s="12"/>
      <c r="H21" s="3"/>
      <c r="I21" s="3"/>
      <c r="J21" s="3"/>
      <c r="K21" s="10"/>
    </row>
    <row r="22" spans="1:11" ht="15" customHeight="1">
      <c r="A22" s="41">
        <v>3</v>
      </c>
      <c r="B22" s="41">
        <v>1.25</v>
      </c>
      <c r="C22" s="447">
        <f>A22*(B22*B23)</f>
        <v>4.5</v>
      </c>
      <c r="D22" s="8"/>
      <c r="E22" s="429" t="s">
        <v>37</v>
      </c>
      <c r="F22" s="429"/>
      <c r="G22" s="12"/>
      <c r="H22" s="3"/>
      <c r="I22" s="3"/>
      <c r="J22" s="3"/>
      <c r="K22" s="10"/>
    </row>
    <row r="23" spans="1:11">
      <c r="A23" s="41"/>
      <c r="B23" s="41">
        <v>1.2</v>
      </c>
      <c r="C23" s="447"/>
      <c r="D23" s="448" t="s">
        <v>688</v>
      </c>
      <c r="E23" s="449"/>
      <c r="F23" s="449"/>
      <c r="G23" s="450"/>
      <c r="H23" s="3"/>
      <c r="I23" s="3"/>
      <c r="J23" s="3"/>
      <c r="K23" s="10"/>
    </row>
    <row r="24" spans="1:11">
      <c r="A24" s="41">
        <v>1</v>
      </c>
      <c r="B24" s="41">
        <v>1.8</v>
      </c>
      <c r="C24" s="447">
        <f>A24*(B24*B25)</f>
        <v>3.7800000000000002</v>
      </c>
      <c r="D24" s="454"/>
      <c r="E24" s="455"/>
      <c r="F24" s="455"/>
      <c r="G24" s="456"/>
      <c r="H24" s="3"/>
      <c r="I24" s="3"/>
      <c r="J24" s="3"/>
      <c r="K24" s="10"/>
    </row>
    <row r="25" spans="1:11">
      <c r="A25" s="55"/>
      <c r="B25" s="55">
        <v>2.1</v>
      </c>
      <c r="C25" s="427"/>
      <c r="D25" s="292" t="s">
        <v>282</v>
      </c>
      <c r="E25" s="444" t="str">
        <f>'Material Analysis'!C14</f>
        <v>Celcon</v>
      </c>
      <c r="F25" s="445"/>
      <c r="G25" s="446"/>
      <c r="H25" s="3"/>
      <c r="I25" s="3"/>
      <c r="J25" s="3"/>
      <c r="K25" s="10"/>
    </row>
    <row r="26" spans="1:11">
      <c r="A26" s="41">
        <v>2</v>
      </c>
      <c r="B26" s="41">
        <v>0.7</v>
      </c>
      <c r="C26" s="447">
        <f>A26*(B26*B27)</f>
        <v>1.47</v>
      </c>
      <c r="D26" s="292" t="s">
        <v>685</v>
      </c>
      <c r="E26" s="444" t="str">
        <f>'Material Analysis'!D14</f>
        <v>Standard</v>
      </c>
      <c r="F26" s="445"/>
      <c r="G26" s="446"/>
      <c r="H26" s="3"/>
      <c r="I26" s="3"/>
      <c r="J26" s="3"/>
      <c r="K26" s="10"/>
    </row>
    <row r="27" spans="1:11">
      <c r="A27" s="55"/>
      <c r="B27" s="55">
        <v>1.05</v>
      </c>
      <c r="C27" s="427"/>
      <c r="D27" s="292" t="s">
        <v>686</v>
      </c>
      <c r="E27" s="444" t="str">
        <f>'Material Analysis'!E14</f>
        <v>CC - 100mm</v>
      </c>
      <c r="F27" s="445"/>
      <c r="G27" s="446"/>
      <c r="H27" s="3"/>
      <c r="I27" s="3"/>
      <c r="J27" s="3"/>
      <c r="K27" s="10"/>
    </row>
    <row r="28" spans="1:11" ht="17.25">
      <c r="A28" s="41">
        <v>4</v>
      </c>
      <c r="B28" s="41">
        <v>0.7</v>
      </c>
      <c r="C28" s="447">
        <f>A28*(B28*B29)</f>
        <v>3.78</v>
      </c>
      <c r="D28" s="36">
        <f>'Labour Analysis'!B38</f>
        <v>12</v>
      </c>
      <c r="E28" s="31">
        <v>0</v>
      </c>
      <c r="F28" s="34">
        <f>ROUNDUP(('Material Analysis'!F14+2),0)</f>
        <v>15</v>
      </c>
      <c r="G28" s="31">
        <v>0</v>
      </c>
      <c r="H28" s="25">
        <f ca="1">$C37</f>
        <v>190.13499999999996</v>
      </c>
      <c r="I28" s="25" t="s">
        <v>13</v>
      </c>
      <c r="J28" s="41">
        <f>SUM(D28:G28)</f>
        <v>27</v>
      </c>
      <c r="K28" s="42">
        <f ca="1">SUM(H28*J28)</f>
        <v>5133.6449999999986</v>
      </c>
    </row>
    <row r="29" spans="1:11">
      <c r="A29" s="55"/>
      <c r="B29" s="25">
        <v>1.35</v>
      </c>
      <c r="C29" s="427"/>
      <c r="D29" s="8"/>
      <c r="E29" s="325"/>
      <c r="F29" s="324"/>
      <c r="G29" s="325"/>
      <c r="H29" s="3"/>
      <c r="I29" s="3"/>
      <c r="J29" s="3"/>
      <c r="K29" s="10"/>
    </row>
    <row r="30" spans="1:11">
      <c r="A30" s="41">
        <v>2</v>
      </c>
      <c r="B30" s="41">
        <v>0.7</v>
      </c>
      <c r="C30" s="447">
        <f>A30*(B30*B31)</f>
        <v>1.68</v>
      </c>
      <c r="D30" s="8"/>
      <c r="E30" s="325"/>
      <c r="F30" s="324"/>
      <c r="G30" s="325"/>
      <c r="H30" s="3"/>
      <c r="I30" s="3"/>
      <c r="J30" s="3"/>
      <c r="K30" s="10"/>
    </row>
    <row r="31" spans="1:11">
      <c r="A31" s="55"/>
      <c r="B31" s="25">
        <v>1.2</v>
      </c>
      <c r="C31" s="427"/>
      <c r="D31" s="8"/>
      <c r="E31" s="325"/>
      <c r="F31" s="324"/>
      <c r="G31" s="325"/>
      <c r="H31" s="3"/>
      <c r="I31" s="3"/>
      <c r="J31" s="3"/>
      <c r="K31" s="10"/>
    </row>
    <row r="32" spans="1:11">
      <c r="A32" s="41">
        <v>1</v>
      </c>
      <c r="B32" s="41">
        <v>0.7</v>
      </c>
      <c r="C32" s="447">
        <f>A32*(B32*B33)</f>
        <v>0.52499999999999991</v>
      </c>
      <c r="D32" s="8"/>
      <c r="E32" s="325"/>
      <c r="F32" s="324"/>
      <c r="G32" s="325"/>
      <c r="H32" s="3"/>
      <c r="I32" s="3"/>
      <c r="J32" s="3"/>
      <c r="K32" s="10"/>
    </row>
    <row r="33" spans="1:11">
      <c r="A33" s="55"/>
      <c r="B33" s="25">
        <v>0.75</v>
      </c>
      <c r="C33" s="427"/>
      <c r="D33" s="8"/>
      <c r="E33" s="325"/>
      <c r="F33" s="324"/>
      <c r="G33" s="325"/>
      <c r="H33" s="3"/>
      <c r="I33" s="3"/>
      <c r="J33" s="3"/>
      <c r="K33" s="10"/>
    </row>
    <row r="34" spans="1:11">
      <c r="A34" s="41">
        <v>1</v>
      </c>
      <c r="B34" s="41">
        <v>2.9</v>
      </c>
      <c r="C34" s="447">
        <f>A34*(B34*B35)</f>
        <v>6.09</v>
      </c>
      <c r="D34" s="8"/>
      <c r="E34" s="330"/>
      <c r="F34" s="329"/>
      <c r="G34" s="330"/>
      <c r="H34" s="3"/>
      <c r="I34" s="3"/>
      <c r="J34" s="3"/>
      <c r="K34" s="10"/>
    </row>
    <row r="35" spans="1:11">
      <c r="A35" s="55"/>
      <c r="B35" s="25">
        <v>2.1</v>
      </c>
      <c r="C35" s="427"/>
      <c r="D35" s="8"/>
      <c r="E35" s="330"/>
      <c r="F35" s="329"/>
      <c r="G35" s="330"/>
      <c r="H35" s="3"/>
      <c r="I35" s="3"/>
      <c r="J35" s="3"/>
      <c r="K35" s="10"/>
    </row>
    <row r="36" spans="1:11" ht="15.75" thickBot="1">
      <c r="A36" s="5"/>
      <c r="B36" s="3"/>
      <c r="C36" s="283">
        <f ca="1">SUM(C16:(OFFSET(C36,-1,0)))</f>
        <v>32.4</v>
      </c>
      <c r="D36" s="8"/>
      <c r="E36" s="325"/>
      <c r="F36" s="324"/>
      <c r="G36" s="325"/>
      <c r="H36" s="3"/>
      <c r="I36" s="3"/>
      <c r="J36" s="3"/>
      <c r="K36" s="10"/>
    </row>
    <row r="37" spans="1:11" ht="15.75" thickBot="1">
      <c r="A37" s="5"/>
      <c r="B37" s="3"/>
      <c r="C37" s="121">
        <f ca="1">SUM(C15-C36)</f>
        <v>190.13499999999996</v>
      </c>
      <c r="D37" s="8"/>
      <c r="E37" s="325"/>
      <c r="F37" s="324"/>
      <c r="G37" s="325"/>
      <c r="H37" s="3"/>
      <c r="I37" s="3"/>
      <c r="J37" s="3"/>
      <c r="K37" s="10"/>
    </row>
    <row r="38" spans="1:11">
      <c r="A38" s="3"/>
      <c r="B38" s="3"/>
      <c r="C38" s="260"/>
      <c r="D38" s="8"/>
      <c r="E38" s="228"/>
      <c r="F38" s="228"/>
      <c r="G38" s="228"/>
      <c r="H38" s="3"/>
      <c r="I38" s="3"/>
      <c r="J38" s="3"/>
      <c r="K38" s="10"/>
    </row>
    <row r="39" spans="1:11">
      <c r="D39" s="8"/>
      <c r="E39" s="228"/>
      <c r="F39" s="228"/>
      <c r="G39" s="228"/>
      <c r="H39" s="3"/>
      <c r="I39" s="3"/>
      <c r="J39" s="3"/>
      <c r="K39" s="10"/>
    </row>
    <row r="40" spans="1:11" ht="15" customHeight="1">
      <c r="A40" s="41">
        <v>2</v>
      </c>
      <c r="B40" s="41">
        <v>5.4</v>
      </c>
      <c r="C40" s="447">
        <f>A40*(B40*B41)</f>
        <v>27</v>
      </c>
      <c r="D40" s="408" t="s">
        <v>687</v>
      </c>
      <c r="E40" s="409"/>
      <c r="F40" s="409"/>
      <c r="G40" s="409"/>
    </row>
    <row r="41" spans="1:11">
      <c r="A41" s="41"/>
      <c r="B41" s="41">
        <v>2.5</v>
      </c>
      <c r="C41" s="447"/>
      <c r="D41" s="408"/>
      <c r="E41" s="409"/>
      <c r="F41" s="409"/>
      <c r="G41" s="409"/>
    </row>
    <row r="42" spans="1:11" ht="16.5" customHeight="1">
      <c r="A42" s="41">
        <v>2</v>
      </c>
      <c r="B42" s="41">
        <v>4.5</v>
      </c>
      <c r="C42" s="447">
        <f>A42*(B42*B43)</f>
        <v>21.599999999999998</v>
      </c>
      <c r="D42" s="292" t="s">
        <v>282</v>
      </c>
      <c r="E42" s="444" t="str">
        <f>'Material Analysis'!$C15</f>
        <v>Thermalite</v>
      </c>
      <c r="F42" s="445"/>
      <c r="G42" s="446"/>
    </row>
    <row r="43" spans="1:11" ht="15.75" thickBot="1">
      <c r="A43" s="41"/>
      <c r="B43" s="41">
        <v>2.4</v>
      </c>
      <c r="C43" s="447"/>
      <c r="D43" s="292" t="s">
        <v>685</v>
      </c>
      <c r="E43" s="444" t="str">
        <f>'Material Analysis'!$D15</f>
        <v>Shield</v>
      </c>
      <c r="F43" s="445"/>
      <c r="G43" s="446"/>
    </row>
    <row r="44" spans="1:11" ht="15.75" thickBot="1">
      <c r="A44" s="66"/>
      <c r="B44" s="41" t="s">
        <v>38</v>
      </c>
      <c r="C44" s="284">
        <f ca="1">SUM(C40:(OFFSET(C44,-1,0)))</f>
        <v>48.599999999999994</v>
      </c>
      <c r="D44" s="292" t="s">
        <v>686</v>
      </c>
      <c r="E44" s="444" t="str">
        <f>'Material Analysis'!$E15</f>
        <v>TLS - 100mm</v>
      </c>
      <c r="F44" s="445"/>
      <c r="G44" s="446"/>
    </row>
    <row r="45" spans="1:11" ht="17.25">
      <c r="A45" s="66">
        <v>4</v>
      </c>
      <c r="B45" s="41">
        <v>0.8</v>
      </c>
      <c r="C45" s="457">
        <f>A45*(B45*B46)</f>
        <v>6.7200000000000006</v>
      </c>
      <c r="D45" s="36">
        <f>'Labour Analysis'!B38</f>
        <v>12</v>
      </c>
      <c r="E45" s="34">
        <v>0</v>
      </c>
      <c r="F45" s="34">
        <f>ROUNDUP(('Material Analysis'!I15+2),0)</f>
        <v>13</v>
      </c>
      <c r="G45" s="34">
        <v>0</v>
      </c>
      <c r="H45" s="25">
        <f ca="1">$C48</f>
        <v>41.879999999999995</v>
      </c>
      <c r="I45" s="25" t="s">
        <v>13</v>
      </c>
      <c r="J45" s="41">
        <f>SUM(D45:G45)</f>
        <v>25</v>
      </c>
      <c r="K45" s="42">
        <f ca="1">SUM(H45*J45)</f>
        <v>1047</v>
      </c>
    </row>
    <row r="46" spans="1:11">
      <c r="A46" s="41"/>
      <c r="B46" s="41">
        <v>2.1</v>
      </c>
      <c r="C46" s="447"/>
    </row>
    <row r="47" spans="1:11" ht="15.75" thickBot="1">
      <c r="C47" s="283">
        <f ca="1">SUM(C45:(OFFSET(C47,-1,0)))</f>
        <v>6.7200000000000006</v>
      </c>
    </row>
    <row r="48" spans="1:11" ht="15.75" thickBot="1">
      <c r="C48" s="43">
        <f ca="1">$C44-$C47</f>
        <v>41.879999999999995</v>
      </c>
    </row>
    <row r="49" spans="1:11" ht="15" customHeight="1"/>
    <row r="51" spans="1:11">
      <c r="A51" s="41">
        <v>1</v>
      </c>
      <c r="B51" s="41">
        <v>3.6</v>
      </c>
      <c r="C51" s="447">
        <f>A51*(B51*B52)</f>
        <v>9</v>
      </c>
      <c r="D51" s="439" t="s">
        <v>912</v>
      </c>
      <c r="E51" s="440"/>
      <c r="F51" s="440"/>
      <c r="G51" s="441"/>
    </row>
    <row r="52" spans="1:11">
      <c r="A52" s="41"/>
      <c r="B52" s="41">
        <v>2.5</v>
      </c>
      <c r="C52" s="447"/>
      <c r="D52" s="292" t="s">
        <v>282</v>
      </c>
      <c r="E52" s="444" t="str">
        <f>'Material Analysis'!C15</f>
        <v>Thermalite</v>
      </c>
      <c r="F52" s="445"/>
      <c r="G52" s="446"/>
    </row>
    <row r="53" spans="1:11">
      <c r="A53" s="41">
        <v>0.5</v>
      </c>
      <c r="B53" s="41">
        <v>3.6</v>
      </c>
      <c r="C53" s="447">
        <f>A53*(B53*B54)</f>
        <v>3.06</v>
      </c>
      <c r="D53" s="292" t="s">
        <v>685</v>
      </c>
      <c r="E53" s="444" t="str">
        <f>'Material Analysis'!D15</f>
        <v>Shield</v>
      </c>
      <c r="F53" s="445"/>
      <c r="G53" s="446"/>
    </row>
    <row r="54" spans="1:11" ht="15.75" thickBot="1">
      <c r="A54" s="41"/>
      <c r="B54" s="41">
        <v>1.7</v>
      </c>
      <c r="C54" s="447"/>
      <c r="D54" s="292" t="s">
        <v>686</v>
      </c>
      <c r="E54" s="444" t="str">
        <f>'Material Analysis'!E15</f>
        <v>TLS - 100mm</v>
      </c>
      <c r="F54" s="445"/>
      <c r="G54" s="446"/>
    </row>
    <row r="55" spans="1:11" ht="16.5" customHeight="1" thickBot="1">
      <c r="A55" s="66"/>
      <c r="B55" s="41" t="s">
        <v>38</v>
      </c>
      <c r="C55" s="284">
        <f ca="1">SUM(C51:(OFFSET(C55,-1,0)))</f>
        <v>12.06</v>
      </c>
      <c r="D55" s="36">
        <f>'Labour Analysis'!B38*2</f>
        <v>24</v>
      </c>
      <c r="E55" s="34">
        <v>0</v>
      </c>
      <c r="F55" s="34">
        <f>ROUNDUP((('Material Analysis'!I15*2)+4),0)</f>
        <v>25</v>
      </c>
      <c r="G55" s="34">
        <v>0</v>
      </c>
      <c r="H55" s="25">
        <f ca="1">$C59</f>
        <v>10.38</v>
      </c>
      <c r="I55" s="25" t="s">
        <v>13</v>
      </c>
      <c r="J55" s="41">
        <f>SUM(D55:G55)</f>
        <v>49</v>
      </c>
      <c r="K55" s="42">
        <f ca="1">SUM(H55*J55)</f>
        <v>508.62000000000006</v>
      </c>
    </row>
    <row r="56" spans="1:11">
      <c r="A56" s="66">
        <v>1</v>
      </c>
      <c r="B56" s="41">
        <v>0.8</v>
      </c>
      <c r="C56" s="457">
        <f>A56*(B56*B57)</f>
        <v>1.6800000000000002</v>
      </c>
    </row>
    <row r="57" spans="1:11">
      <c r="A57" s="41"/>
      <c r="B57" s="41">
        <v>2.1</v>
      </c>
      <c r="C57" s="447"/>
    </row>
    <row r="58" spans="1:11" ht="15.75" thickBot="1">
      <c r="C58" s="283">
        <f ca="1">SUM(C56:(OFFSET(C58,-1,0)))</f>
        <v>1.6800000000000002</v>
      </c>
    </row>
    <row r="59" spans="1:11" ht="15.75" thickBot="1">
      <c r="C59" s="43">
        <f ca="1">$C55-$C58</f>
        <v>10.38</v>
      </c>
    </row>
    <row r="60" spans="1:11" ht="15" customHeight="1"/>
    <row r="62" spans="1:11">
      <c r="A62" s="27">
        <v>2</v>
      </c>
      <c r="B62" s="27">
        <v>1</v>
      </c>
      <c r="C62" s="26">
        <f t="shared" ref="C62:C69" si="0">A62*B62</f>
        <v>2</v>
      </c>
      <c r="D62" s="408" t="s">
        <v>40</v>
      </c>
      <c r="E62" s="409"/>
      <c r="F62" s="409"/>
      <c r="G62" s="409"/>
      <c r="H62" s="2"/>
      <c r="I62" s="2"/>
      <c r="J62" s="2"/>
      <c r="K62" s="10"/>
    </row>
    <row r="63" spans="1:11">
      <c r="A63" s="25">
        <v>8</v>
      </c>
      <c r="B63" s="25">
        <v>2.1</v>
      </c>
      <c r="C63" s="44">
        <f t="shared" si="0"/>
        <v>16.8</v>
      </c>
      <c r="D63" s="408"/>
      <c r="E63" s="409"/>
      <c r="F63" s="409"/>
      <c r="G63" s="409"/>
    </row>
    <row r="64" spans="1:11">
      <c r="A64" s="27">
        <v>7</v>
      </c>
      <c r="B64" s="27">
        <v>1.25</v>
      </c>
      <c r="C64" s="218">
        <f t="shared" si="0"/>
        <v>8.75</v>
      </c>
      <c r="D64" s="282" t="s">
        <v>282</v>
      </c>
      <c r="E64" s="444" t="str">
        <f>'Material Analysis'!C52</f>
        <v>Thermabate</v>
      </c>
      <c r="F64" s="445"/>
      <c r="G64" s="446"/>
    </row>
    <row r="65" spans="1:11" ht="15" customHeight="1">
      <c r="A65" s="25">
        <v>14</v>
      </c>
      <c r="B65" s="25">
        <v>1.35</v>
      </c>
      <c r="C65" s="216">
        <f t="shared" si="0"/>
        <v>18.900000000000002</v>
      </c>
      <c r="D65" s="282" t="s">
        <v>670</v>
      </c>
      <c r="E65" s="458" t="str">
        <f>'Material Analysis'!D52</f>
        <v>100mm wide</v>
      </c>
      <c r="F65" s="459"/>
      <c r="G65" s="460"/>
    </row>
    <row r="66" spans="1:11">
      <c r="A66" s="27">
        <v>6</v>
      </c>
      <c r="B66" s="27">
        <v>1.05</v>
      </c>
      <c r="C66" s="218">
        <f t="shared" si="0"/>
        <v>6.3000000000000007</v>
      </c>
      <c r="D66" s="36">
        <f>'Labour Analysis'!E39*0.2</f>
        <v>4</v>
      </c>
      <c r="E66" s="31">
        <v>0</v>
      </c>
      <c r="F66" s="31">
        <f>ROUNDUP(('Material Analysis'!I52),0)</f>
        <v>6</v>
      </c>
      <c r="G66" s="31">
        <v>0</v>
      </c>
      <c r="H66" s="25">
        <f ca="1">$C72</f>
        <v>77.25</v>
      </c>
      <c r="I66" s="30" t="s">
        <v>39</v>
      </c>
      <c r="J66" s="41">
        <f>SUM(D66:G66)</f>
        <v>10</v>
      </c>
      <c r="K66" s="42">
        <f ca="1">SUM(H66*J66)</f>
        <v>772.5</v>
      </c>
    </row>
    <row r="67" spans="1:11">
      <c r="A67" s="25">
        <v>10</v>
      </c>
      <c r="B67" s="25">
        <v>1.2</v>
      </c>
      <c r="C67" s="216">
        <f t="shared" si="0"/>
        <v>12</v>
      </c>
      <c r="D67" s="8"/>
      <c r="E67" s="228"/>
      <c r="F67" s="228"/>
      <c r="G67" s="228"/>
      <c r="H67" s="3"/>
      <c r="I67" s="2"/>
      <c r="J67" s="3"/>
      <c r="K67" s="10"/>
    </row>
    <row r="68" spans="1:11">
      <c r="A68" s="27">
        <v>1</v>
      </c>
      <c r="B68" s="27">
        <v>1.8</v>
      </c>
      <c r="C68" s="218">
        <f t="shared" si="0"/>
        <v>1.8</v>
      </c>
      <c r="D68" s="8"/>
      <c r="E68" s="228"/>
      <c r="F68" s="228"/>
      <c r="G68" s="228"/>
      <c r="H68" s="3"/>
      <c r="I68" s="2"/>
      <c r="J68" s="3"/>
      <c r="K68" s="10"/>
    </row>
    <row r="69" spans="1:11">
      <c r="A69" s="25">
        <v>9</v>
      </c>
      <c r="B69" s="25">
        <v>0.7</v>
      </c>
      <c r="C69" s="216">
        <f t="shared" si="0"/>
        <v>6.3</v>
      </c>
      <c r="D69" s="8"/>
      <c r="E69" s="228"/>
      <c r="F69" s="228"/>
      <c r="G69" s="228"/>
      <c r="H69" s="3"/>
      <c r="I69" s="2"/>
      <c r="J69" s="3"/>
      <c r="K69" s="10"/>
    </row>
    <row r="70" spans="1:11">
      <c r="A70" s="25">
        <v>2</v>
      </c>
      <c r="B70" s="25">
        <v>0.75</v>
      </c>
      <c r="C70" s="322">
        <f t="shared" ref="C70" si="1">A70*B70</f>
        <v>1.5</v>
      </c>
      <c r="D70" s="8"/>
      <c r="E70" s="325"/>
      <c r="F70" s="325"/>
      <c r="G70" s="325"/>
      <c r="H70" s="3"/>
      <c r="I70" s="2"/>
      <c r="J70" s="3"/>
      <c r="K70" s="10"/>
    </row>
    <row r="71" spans="1:11" ht="15.75" thickBot="1">
      <c r="A71" s="25">
        <v>1</v>
      </c>
      <c r="B71" s="25">
        <v>2.9</v>
      </c>
      <c r="C71" s="326">
        <f t="shared" ref="C71" si="2">A71*B71</f>
        <v>2.9</v>
      </c>
      <c r="D71" s="8"/>
      <c r="E71" s="330"/>
      <c r="F71" s="330"/>
      <c r="G71" s="330"/>
      <c r="H71" s="3"/>
      <c r="I71" s="2"/>
      <c r="J71" s="3"/>
      <c r="K71" s="10"/>
    </row>
    <row r="72" spans="1:11" ht="15.75" thickBot="1">
      <c r="A72" s="180"/>
      <c r="B72" s="179"/>
      <c r="C72" s="121">
        <f ca="1">SUM(C62:(OFFSET(C72,-1,0)))</f>
        <v>77.25</v>
      </c>
      <c r="D72" s="8"/>
      <c r="E72" s="228"/>
      <c r="F72" s="228"/>
      <c r="G72" s="228"/>
      <c r="H72" s="3"/>
      <c r="I72" s="2"/>
      <c r="J72" s="3"/>
      <c r="K72" s="10"/>
    </row>
    <row r="73" spans="1:11">
      <c r="D73" s="8"/>
      <c r="E73" s="228"/>
      <c r="F73" s="228"/>
      <c r="G73" s="228"/>
      <c r="H73" s="3"/>
      <c r="I73" s="2"/>
      <c r="J73" s="3"/>
      <c r="K73" s="10"/>
    </row>
    <row r="74" spans="1:11">
      <c r="D74" s="8"/>
      <c r="E74" s="228"/>
      <c r="F74" s="228"/>
      <c r="G74" s="228"/>
      <c r="H74" s="3"/>
      <c r="I74" s="2"/>
      <c r="J74" s="3"/>
      <c r="K74" s="10"/>
    </row>
    <row r="75" spans="1:11">
      <c r="A75" s="27">
        <v>7</v>
      </c>
      <c r="B75" s="27">
        <v>0.7</v>
      </c>
      <c r="C75" s="26">
        <f>A75*B75</f>
        <v>4.8999999999999995</v>
      </c>
      <c r="D75" s="408" t="s">
        <v>41</v>
      </c>
      <c r="E75" s="409"/>
      <c r="F75" s="409"/>
      <c r="G75" s="409"/>
      <c r="H75" s="2"/>
      <c r="I75" s="2"/>
      <c r="J75" s="2"/>
      <c r="K75" s="10"/>
    </row>
    <row r="76" spans="1:11">
      <c r="A76" s="25">
        <v>2</v>
      </c>
      <c r="B76" s="25">
        <v>1.2</v>
      </c>
      <c r="C76" s="44">
        <f>A76*B76</f>
        <v>2.4</v>
      </c>
      <c r="D76" s="408"/>
      <c r="E76" s="409"/>
      <c r="F76" s="409"/>
      <c r="G76" s="409"/>
    </row>
    <row r="77" spans="1:11" ht="15" customHeight="1">
      <c r="A77" s="25">
        <v>1</v>
      </c>
      <c r="B77" s="25">
        <v>1.8</v>
      </c>
      <c r="C77" s="326">
        <f>A77*B77</f>
        <v>1.8</v>
      </c>
      <c r="D77" s="36">
        <f>'Labour Analysis'!E39*0.2</f>
        <v>4</v>
      </c>
      <c r="E77" s="31">
        <v>0</v>
      </c>
      <c r="F77" s="31">
        <v>0</v>
      </c>
      <c r="G77" s="31">
        <v>0</v>
      </c>
      <c r="H77" s="25">
        <f ca="1">$C79</f>
        <v>12</v>
      </c>
      <c r="I77" s="30" t="s">
        <v>39</v>
      </c>
      <c r="J77" s="41">
        <f>SUM(D77:G77)</f>
        <v>4</v>
      </c>
      <c r="K77" s="42">
        <f ca="1">SUM(H77*J77)</f>
        <v>48</v>
      </c>
    </row>
    <row r="78" spans="1:11" ht="15.75" thickBot="1">
      <c r="A78" s="25">
        <v>1</v>
      </c>
      <c r="B78" s="25">
        <v>2.9</v>
      </c>
      <c r="C78" s="326">
        <f>A78*B78</f>
        <v>2.9</v>
      </c>
    </row>
    <row r="79" spans="1:11" ht="15.75" thickBot="1">
      <c r="A79" s="180"/>
      <c r="B79" s="179"/>
      <c r="C79" s="121">
        <f ca="1">SUM(C75:(OFFSET(C79,-1,0)))</f>
        <v>12</v>
      </c>
    </row>
    <row r="82" spans="1:11" ht="15.75" thickBot="1">
      <c r="A82" s="27">
        <v>2</v>
      </c>
      <c r="B82" s="27">
        <v>1.3</v>
      </c>
      <c r="C82" s="26">
        <f>A82*B82</f>
        <v>2.6</v>
      </c>
      <c r="D82" s="408" t="s">
        <v>913</v>
      </c>
      <c r="E82" s="409"/>
      <c r="F82" s="409"/>
      <c r="G82" s="409"/>
      <c r="H82" s="2"/>
      <c r="I82" s="2"/>
      <c r="J82" s="2"/>
      <c r="K82" s="10"/>
    </row>
    <row r="83" spans="1:11" ht="15.75" thickBot="1">
      <c r="A83" s="180"/>
      <c r="B83" s="179"/>
      <c r="C83" s="121">
        <f ca="1">SUM(C82:(OFFSET(C83,-1,0)))</f>
        <v>2.6</v>
      </c>
      <c r="D83" s="408"/>
      <c r="E83" s="409"/>
      <c r="F83" s="409"/>
      <c r="G83" s="409"/>
    </row>
    <row r="84" spans="1:11">
      <c r="D84" s="36">
        <f>'Labour Analysis'!E39*1</f>
        <v>20</v>
      </c>
      <c r="E84" s="31">
        <v>0</v>
      </c>
      <c r="F84" s="31">
        <f>'Material Analysis'!I68</f>
        <v>200</v>
      </c>
      <c r="G84" s="31">
        <v>0</v>
      </c>
      <c r="H84" s="25">
        <f ca="1">$C83</f>
        <v>2.6</v>
      </c>
      <c r="I84" s="30" t="s">
        <v>39</v>
      </c>
      <c r="J84" s="41">
        <f>SUM(D84:G84)</f>
        <v>220</v>
      </c>
      <c r="K84" s="42">
        <f ca="1">SUM(H84*J84)</f>
        <v>572</v>
      </c>
    </row>
    <row r="87" spans="1:11">
      <c r="A87" s="27">
        <v>7</v>
      </c>
      <c r="B87" s="27">
        <v>0.7</v>
      </c>
      <c r="C87" s="328">
        <f>A87*B87</f>
        <v>4.8999999999999995</v>
      </c>
      <c r="D87" s="408" t="s">
        <v>914</v>
      </c>
      <c r="E87" s="409"/>
      <c r="F87" s="409"/>
      <c r="G87" s="409"/>
      <c r="H87" s="2"/>
      <c r="I87" s="2"/>
      <c r="J87" s="2"/>
      <c r="K87" s="10"/>
    </row>
    <row r="88" spans="1:11">
      <c r="A88" s="25">
        <v>2</v>
      </c>
      <c r="B88" s="25">
        <v>1.2</v>
      </c>
      <c r="C88" s="326">
        <f>A88*B88</f>
        <v>2.4</v>
      </c>
      <c r="D88" s="408"/>
      <c r="E88" s="409"/>
      <c r="F88" s="409"/>
      <c r="G88" s="409"/>
    </row>
    <row r="89" spans="1:11">
      <c r="A89" s="25">
        <v>1</v>
      </c>
      <c r="B89" s="25">
        <v>1.8</v>
      </c>
      <c r="C89" s="326">
        <f>A89*B89</f>
        <v>1.8</v>
      </c>
      <c r="D89" s="36">
        <f>'Labour Analysis'!E39*0.3</f>
        <v>6</v>
      </c>
      <c r="E89" s="31">
        <v>0</v>
      </c>
      <c r="F89" s="31">
        <v>0</v>
      </c>
      <c r="G89" s="31">
        <v>0</v>
      </c>
      <c r="H89" s="25">
        <f ca="1">$C91</f>
        <v>12</v>
      </c>
      <c r="I89" s="30" t="s">
        <v>39</v>
      </c>
      <c r="J89" s="41">
        <f>SUM(D89:G89)</f>
        <v>6</v>
      </c>
      <c r="K89" s="42">
        <f ca="1">SUM(H89*J89)</f>
        <v>72</v>
      </c>
    </row>
    <row r="90" spans="1:11" ht="15.75" thickBot="1">
      <c r="A90" s="25">
        <v>1</v>
      </c>
      <c r="B90" s="25">
        <v>2.9</v>
      </c>
      <c r="C90" s="326">
        <f>A90*B90</f>
        <v>2.9</v>
      </c>
    </row>
    <row r="91" spans="1:11" ht="15.75" thickBot="1">
      <c r="A91" s="180"/>
      <c r="B91" s="179"/>
      <c r="C91" s="121">
        <f ca="1">SUM(C87:(OFFSET(C91,-1,0)))</f>
        <v>12</v>
      </c>
    </row>
    <row r="94" spans="1:11">
      <c r="A94" s="27">
        <v>4</v>
      </c>
      <c r="B94" s="27">
        <v>3.5</v>
      </c>
      <c r="C94" s="26">
        <f>A94*B94</f>
        <v>14</v>
      </c>
      <c r="D94" s="408" t="s">
        <v>42</v>
      </c>
      <c r="E94" s="409"/>
      <c r="F94" s="409"/>
      <c r="G94" s="409"/>
      <c r="H94" s="2"/>
      <c r="I94" s="2"/>
      <c r="J94" s="2"/>
      <c r="K94" s="10"/>
    </row>
    <row r="95" spans="1:11">
      <c r="A95" s="25">
        <v>2</v>
      </c>
      <c r="B95" s="25">
        <v>2.5</v>
      </c>
      <c r="C95" s="44">
        <f>A95*B95</f>
        <v>5</v>
      </c>
      <c r="D95" s="408"/>
      <c r="E95" s="409"/>
      <c r="F95" s="409"/>
      <c r="G95" s="409"/>
    </row>
    <row r="96" spans="1:11" ht="15.75" thickBot="1">
      <c r="A96" s="25">
        <v>2</v>
      </c>
      <c r="B96" s="25">
        <v>3</v>
      </c>
      <c r="C96" s="326">
        <f>A96*B96</f>
        <v>6</v>
      </c>
      <c r="D96" s="36">
        <f>'Labour Analysis'!E39*0.3</f>
        <v>6</v>
      </c>
      <c r="E96" s="31">
        <v>0</v>
      </c>
      <c r="F96" s="31">
        <v>0</v>
      </c>
      <c r="G96" s="31">
        <v>0</v>
      </c>
      <c r="H96" s="25">
        <f ca="1">$C97</f>
        <v>25</v>
      </c>
      <c r="I96" s="30" t="s">
        <v>39</v>
      </c>
      <c r="J96" s="41">
        <f>SUM(D96:G96)</f>
        <v>6</v>
      </c>
      <c r="K96" s="42">
        <f ca="1">SUM(H96*J96)</f>
        <v>150</v>
      </c>
    </row>
    <row r="97" spans="1:11" ht="15.75" thickBot="1">
      <c r="A97" s="180"/>
      <c r="B97" s="179"/>
      <c r="C97" s="121">
        <f ca="1">SUM(C94:(OFFSET(C97,-1,0)))</f>
        <v>25</v>
      </c>
    </row>
    <row r="98" spans="1:11" ht="15" customHeight="1"/>
    <row r="99" spans="1:11" ht="15" customHeight="1"/>
    <row r="100" spans="1:11">
      <c r="C100" s="286"/>
      <c r="D100" s="408" t="s">
        <v>935</v>
      </c>
      <c r="E100" s="409"/>
      <c r="F100" s="409"/>
      <c r="G100" s="409"/>
      <c r="H100" s="2"/>
      <c r="I100" s="2"/>
      <c r="J100" s="2"/>
      <c r="K100" s="10"/>
    </row>
    <row r="101" spans="1:11" ht="15.75" thickBot="1">
      <c r="C101" s="287"/>
      <c r="D101" s="408"/>
      <c r="E101" s="409"/>
      <c r="F101" s="409"/>
      <c r="G101" s="409"/>
    </row>
    <row r="102" spans="1:11" ht="15.75" thickBot="1">
      <c r="A102" s="27">
        <v>8</v>
      </c>
      <c r="B102" s="59">
        <v>1</v>
      </c>
      <c r="C102" s="338">
        <f>SUM(A102*B102)</f>
        <v>8</v>
      </c>
      <c r="D102" s="39">
        <f>'Labour Analysis'!$E$39*0.75</f>
        <v>15</v>
      </c>
      <c r="E102" s="34">
        <v>0</v>
      </c>
      <c r="F102" s="34">
        <v>15</v>
      </c>
      <c r="G102" s="34">
        <v>0</v>
      </c>
      <c r="H102" s="27">
        <f>$C102</f>
        <v>8</v>
      </c>
      <c r="I102" s="27" t="s">
        <v>44</v>
      </c>
      <c r="J102" s="59">
        <f>SUM(D102:G102)</f>
        <v>30</v>
      </c>
      <c r="K102" s="42">
        <f>SUM(H102*J102)</f>
        <v>240</v>
      </c>
    </row>
    <row r="103" spans="1:11">
      <c r="C103" s="287"/>
    </row>
    <row r="104" spans="1:11">
      <c r="C104" s="287"/>
    </row>
    <row r="105" spans="1:11" ht="15" customHeight="1">
      <c r="A105" s="41">
        <v>6</v>
      </c>
      <c r="B105" s="41">
        <v>0.45</v>
      </c>
      <c r="C105" s="447">
        <f>A105*(B105*B106)</f>
        <v>19.169999999999998</v>
      </c>
      <c r="D105" s="448" t="s">
        <v>936</v>
      </c>
      <c r="E105" s="449"/>
      <c r="F105" s="449"/>
      <c r="G105" s="450"/>
      <c r="H105" s="4"/>
      <c r="I105" s="4"/>
      <c r="J105" s="4"/>
    </row>
    <row r="106" spans="1:11">
      <c r="A106" s="41"/>
      <c r="B106" s="41">
        <v>7.1</v>
      </c>
      <c r="C106" s="447"/>
      <c r="D106" s="454"/>
      <c r="E106" s="455"/>
      <c r="F106" s="455"/>
      <c r="G106" s="456"/>
      <c r="H106" s="4"/>
      <c r="I106" s="4"/>
      <c r="J106" s="4"/>
    </row>
    <row r="107" spans="1:11">
      <c r="A107" s="41">
        <v>6</v>
      </c>
      <c r="B107" s="41">
        <v>0.45</v>
      </c>
      <c r="C107" s="447">
        <f>A107*(B107*B108)</f>
        <v>2.4300000000000002</v>
      </c>
      <c r="D107" s="247" t="s">
        <v>282</v>
      </c>
      <c r="E107" s="436" t="s">
        <v>292</v>
      </c>
      <c r="F107" s="437"/>
      <c r="G107" s="438"/>
      <c r="H107" s="3"/>
      <c r="I107" s="3"/>
      <c r="J107" s="3"/>
      <c r="K107" s="10"/>
    </row>
    <row r="108" spans="1:11">
      <c r="A108" s="41"/>
      <c r="B108" s="41">
        <v>0.9</v>
      </c>
      <c r="C108" s="427"/>
      <c r="D108" s="246" t="s">
        <v>283</v>
      </c>
      <c r="E108" s="252">
        <f>'Material Analysis'!I12</f>
        <v>645</v>
      </c>
      <c r="F108" s="250" t="s">
        <v>281</v>
      </c>
      <c r="G108" s="251"/>
      <c r="H108" s="3"/>
      <c r="I108" s="3"/>
      <c r="J108" s="3"/>
      <c r="K108" s="10"/>
    </row>
    <row r="109" spans="1:11">
      <c r="A109" s="41">
        <v>6</v>
      </c>
      <c r="B109" s="41">
        <v>0.7</v>
      </c>
      <c r="C109" s="447">
        <f>A109*(B109*B110)</f>
        <v>3.7800000000000002</v>
      </c>
      <c r="D109" s="246" t="s">
        <v>284</v>
      </c>
      <c r="E109" s="252" t="s">
        <v>287</v>
      </c>
      <c r="F109" s="248" t="s">
        <v>285</v>
      </c>
      <c r="G109" s="254">
        <f>VLOOKUP(E109,BrickBond,2,0)</f>
        <v>60</v>
      </c>
      <c r="H109" s="3"/>
      <c r="I109" s="3"/>
      <c r="J109" s="3"/>
      <c r="K109" s="10"/>
    </row>
    <row r="110" spans="1:11" ht="15.75" thickBot="1">
      <c r="A110" s="41"/>
      <c r="B110" s="41">
        <v>0.9</v>
      </c>
      <c r="C110" s="427"/>
      <c r="D110" s="247" t="s">
        <v>291</v>
      </c>
      <c r="E110" s="253">
        <f>'Material Analysis'!H110</f>
        <v>0.05</v>
      </c>
      <c r="G110" s="249"/>
      <c r="H110" s="3"/>
      <c r="I110" s="3"/>
      <c r="J110" s="3"/>
      <c r="K110" s="10"/>
    </row>
    <row r="111" spans="1:11" ht="18" thickBot="1">
      <c r="A111" s="29"/>
      <c r="B111" s="29"/>
      <c r="C111" s="121">
        <f ca="1">SUM(C105:(OFFSET(C111,-1,0)))</f>
        <v>25.38</v>
      </c>
      <c r="D111" s="36">
        <f>SUM('Labour Analysis'!B37/(1000/G109))</f>
        <v>24</v>
      </c>
      <c r="E111" s="31">
        <v>0</v>
      </c>
      <c r="F111" s="31">
        <f>ROUNDUP(SUM((((E108/(1000/G109)+3)))),0)</f>
        <v>42</v>
      </c>
      <c r="G111" s="31">
        <v>0</v>
      </c>
      <c r="H111" s="25">
        <f ca="1">C111</f>
        <v>25.38</v>
      </c>
      <c r="I111" s="25" t="s">
        <v>13</v>
      </c>
      <c r="J111" s="41">
        <f>SUM(D111:G111)</f>
        <v>66</v>
      </c>
      <c r="K111" s="42">
        <f ca="1">SUM(H111*J111)</f>
        <v>1675.08</v>
      </c>
    </row>
    <row r="112" spans="1:11" ht="15" customHeight="1">
      <c r="D112" s="8"/>
      <c r="E112" s="348"/>
      <c r="F112" s="348"/>
      <c r="G112" s="348"/>
      <c r="H112" s="3"/>
      <c r="I112" s="3"/>
      <c r="J112" s="3"/>
      <c r="K112" s="10"/>
    </row>
    <row r="113" spans="1:11" ht="15" customHeight="1"/>
    <row r="114" spans="1:11" ht="15" customHeight="1">
      <c r="A114" s="41">
        <v>1</v>
      </c>
      <c r="B114" s="41">
        <v>1.1000000000000001</v>
      </c>
      <c r="C114" s="447">
        <f>A114*(B114*B115)</f>
        <v>2.75</v>
      </c>
      <c r="D114" s="448" t="s">
        <v>937</v>
      </c>
      <c r="E114" s="449"/>
      <c r="F114" s="449"/>
      <c r="G114" s="450"/>
      <c r="H114" s="4"/>
      <c r="I114" s="4"/>
      <c r="J114" s="4"/>
    </row>
    <row r="115" spans="1:11" ht="15" customHeight="1">
      <c r="A115" s="41"/>
      <c r="B115" s="41">
        <v>2.5</v>
      </c>
      <c r="C115" s="447"/>
      <c r="D115" s="454"/>
      <c r="E115" s="455"/>
      <c r="F115" s="455"/>
      <c r="G115" s="456"/>
      <c r="H115" s="4"/>
      <c r="I115" s="4"/>
      <c r="J115" s="4"/>
    </row>
    <row r="116" spans="1:11">
      <c r="A116" s="41">
        <v>2</v>
      </c>
      <c r="B116" s="41">
        <v>0.7</v>
      </c>
      <c r="C116" s="447">
        <f>A116*(B116*B117)</f>
        <v>3.5</v>
      </c>
      <c r="D116" s="247" t="s">
        <v>282</v>
      </c>
      <c r="E116" s="436" t="s">
        <v>292</v>
      </c>
      <c r="F116" s="437"/>
      <c r="G116" s="438"/>
      <c r="H116" s="3"/>
      <c r="I116" s="3"/>
      <c r="J116" s="3"/>
      <c r="K116" s="10"/>
    </row>
    <row r="117" spans="1:11">
      <c r="A117" s="41"/>
      <c r="B117" s="41">
        <v>2.5</v>
      </c>
      <c r="C117" s="427"/>
      <c r="D117" s="246" t="s">
        <v>283</v>
      </c>
      <c r="E117" s="252">
        <f>'Material Analysis'!I12</f>
        <v>645</v>
      </c>
      <c r="F117" s="250" t="s">
        <v>281</v>
      </c>
      <c r="G117" s="251"/>
      <c r="H117" s="3"/>
      <c r="I117" s="3"/>
      <c r="J117" s="3"/>
      <c r="K117" s="10"/>
    </row>
    <row r="118" spans="1:11">
      <c r="A118" s="41">
        <v>1</v>
      </c>
      <c r="B118" s="41">
        <v>0.35</v>
      </c>
      <c r="C118" s="447">
        <f>A118*(B118*B119)</f>
        <v>0.875</v>
      </c>
      <c r="D118" s="246" t="s">
        <v>284</v>
      </c>
      <c r="E118" s="252" t="s">
        <v>287</v>
      </c>
      <c r="F118" s="248" t="s">
        <v>285</v>
      </c>
      <c r="G118" s="254">
        <f>VLOOKUP(E118,BrickBond,2,0)</f>
        <v>60</v>
      </c>
      <c r="H118" s="3"/>
      <c r="I118" s="3"/>
      <c r="J118" s="3"/>
      <c r="K118" s="10"/>
    </row>
    <row r="119" spans="1:11" ht="15.75" thickBot="1">
      <c r="A119" s="41"/>
      <c r="B119" s="41">
        <v>2.5</v>
      </c>
      <c r="C119" s="427"/>
      <c r="D119" s="247" t="s">
        <v>291</v>
      </c>
      <c r="E119" s="253">
        <f>'Material Analysis'!H12</f>
        <v>7.4999999999999997E-2</v>
      </c>
      <c r="G119" s="249"/>
      <c r="H119" s="3"/>
      <c r="I119" s="3"/>
      <c r="J119" s="3"/>
      <c r="K119" s="10"/>
    </row>
    <row r="120" spans="1:11" ht="18" thickBot="1">
      <c r="A120" s="29"/>
      <c r="B120" s="29"/>
      <c r="C120" s="121">
        <f ca="1">SUM(C114:(OFFSET(C120,-1,0)))</f>
        <v>7.125</v>
      </c>
      <c r="D120" s="36">
        <f>SUM('Labour Analysis'!B37/(1000/G118))</f>
        <v>24</v>
      </c>
      <c r="E120" s="31">
        <v>0</v>
      </c>
      <c r="F120" s="31">
        <f>ROUNDUP(SUM((((E117/(1000/G118)+3)))),0)</f>
        <v>42</v>
      </c>
      <c r="G120" s="31">
        <v>0</v>
      </c>
      <c r="H120" s="25">
        <f ca="1">C120</f>
        <v>7.125</v>
      </c>
      <c r="I120" s="25" t="s">
        <v>13</v>
      </c>
      <c r="J120" s="41">
        <f>SUM(D120:G120)</f>
        <v>66</v>
      </c>
      <c r="K120" s="42">
        <f ca="1">SUM(H120*J120)</f>
        <v>470.25</v>
      </c>
    </row>
    <row r="123" spans="1:11" ht="15.75" thickBot="1"/>
    <row r="124" spans="1:11" ht="17.25" thickTop="1" thickBot="1">
      <c r="B124" s="405" t="s">
        <v>36</v>
      </c>
      <c r="C124" s="406"/>
      <c r="D124" s="148">
        <f ca="1">SUMPRODUCT(D1:D123,$H1:$H123)</f>
        <v>9888.1999999999989</v>
      </c>
      <c r="E124" s="148">
        <f ca="1">SUMPRODUCT(E1:E123,$H1:$H123)</f>
        <v>0</v>
      </c>
      <c r="F124" s="148">
        <f ca="1">SUMPRODUCT(F1:F123,$H1:$H123)</f>
        <v>16620.126999999997</v>
      </c>
      <c r="G124" s="148">
        <f ca="1">SUMPRODUCT(G1:G123,$H1:$H123)</f>
        <v>0</v>
      </c>
      <c r="H124" s="57">
        <f ca="1">SUM(D124:G124)</f>
        <v>26508.326999999997</v>
      </c>
      <c r="I124" s="54"/>
      <c r="J124" s="199"/>
      <c r="K124" s="56">
        <f ca="1">SUM(K5:K123)</f>
        <v>26508.32699999999</v>
      </c>
    </row>
    <row r="125" spans="1:11" ht="15" customHeight="1">
      <c r="B125" s="29"/>
      <c r="C125" s="14"/>
      <c r="E125" s="16"/>
      <c r="F125" s="16"/>
      <c r="G125" s="17"/>
      <c r="H125" s="4"/>
      <c r="I125" s="4"/>
      <c r="J125" s="4"/>
      <c r="K125" s="58" t="str">
        <f ca="1">IF((H124+J124)=K124,"Correct")</f>
        <v>Correct</v>
      </c>
    </row>
    <row r="131" ht="15" customHeight="1"/>
    <row r="136" ht="15" customHeight="1"/>
    <row r="141" ht="15" customHeight="1"/>
    <row r="146" ht="15" customHeight="1"/>
  </sheetData>
  <sheetProtection sheet="1" objects="1" scenarios="1" selectLockedCells="1" selectUnlockedCells="1"/>
  <mergeCells count="67">
    <mergeCell ref="D15:G16"/>
    <mergeCell ref="E17:G17"/>
    <mergeCell ref="E14:F14"/>
    <mergeCell ref="E18:G18"/>
    <mergeCell ref="A2:A3"/>
    <mergeCell ref="B2:C3"/>
    <mergeCell ref="D2:G2"/>
    <mergeCell ref="E8:G8"/>
    <mergeCell ref="D5:G7"/>
    <mergeCell ref="C11:C12"/>
    <mergeCell ref="C13:C14"/>
    <mergeCell ref="K2:K3"/>
    <mergeCell ref="C5:C6"/>
    <mergeCell ref="C7:C8"/>
    <mergeCell ref="C9:C10"/>
    <mergeCell ref="J2:J3"/>
    <mergeCell ref="I2:I3"/>
    <mergeCell ref="H2:H3"/>
    <mergeCell ref="C40:C41"/>
    <mergeCell ref="C42:C43"/>
    <mergeCell ref="C16:C17"/>
    <mergeCell ref="C18:C19"/>
    <mergeCell ref="C24:C25"/>
    <mergeCell ref="C22:C23"/>
    <mergeCell ref="C20:C21"/>
    <mergeCell ref="C26:C27"/>
    <mergeCell ref="C28:C29"/>
    <mergeCell ref="C30:C31"/>
    <mergeCell ref="C32:C33"/>
    <mergeCell ref="C34:C35"/>
    <mergeCell ref="C45:C46"/>
    <mergeCell ref="B124:C124"/>
    <mergeCell ref="C53:C54"/>
    <mergeCell ref="C56:C57"/>
    <mergeCell ref="D62:G63"/>
    <mergeCell ref="D75:G76"/>
    <mergeCell ref="D82:G83"/>
    <mergeCell ref="D94:G95"/>
    <mergeCell ref="C51:C52"/>
    <mergeCell ref="E64:G64"/>
    <mergeCell ref="E65:G65"/>
    <mergeCell ref="E52:G52"/>
    <mergeCell ref="E53:G53"/>
    <mergeCell ref="D87:G88"/>
    <mergeCell ref="D100:G101"/>
    <mergeCell ref="C109:C110"/>
    <mergeCell ref="E19:G19"/>
    <mergeCell ref="E54:G54"/>
    <mergeCell ref="E42:G42"/>
    <mergeCell ref="E43:G43"/>
    <mergeCell ref="E44:G44"/>
    <mergeCell ref="E25:G25"/>
    <mergeCell ref="E26:G26"/>
    <mergeCell ref="E27:G27"/>
    <mergeCell ref="D40:G41"/>
    <mergeCell ref="D23:G24"/>
    <mergeCell ref="E22:F22"/>
    <mergeCell ref="D51:G51"/>
    <mergeCell ref="E107:G107"/>
    <mergeCell ref="C105:C106"/>
    <mergeCell ref="C107:C108"/>
    <mergeCell ref="D105:G106"/>
    <mergeCell ref="C118:C119"/>
    <mergeCell ref="C114:C115"/>
    <mergeCell ref="C116:C117"/>
    <mergeCell ref="E116:G116"/>
    <mergeCell ref="D114:G115"/>
  </mergeCells>
  <dataValidations count="4">
    <dataValidation type="list" allowBlank="1" showInputMessage="1" showErrorMessage="1" sqref="E10 E109 E118">
      <formula1>Bond</formula1>
    </dataValidation>
    <dataValidation type="list" allowBlank="1" showInputMessage="1" showErrorMessage="1" sqref="D19">
      <formula1>Insulation</formula1>
    </dataValidation>
    <dataValidation type="list" allowBlank="1" showInputMessage="1" showErrorMessage="1" sqref="E64">
      <formula1>CavClosers</formula1>
    </dataValidation>
    <dataValidation type="list" allowBlank="1" showInputMessage="1" showErrorMessage="1" sqref="E65:G65">
      <formula1>INDIRECT($E$64)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 Ltd&amp;C&amp;P of &amp;N&amp;R&amp;A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5"/>
  <dimension ref="A1:K145"/>
  <sheetViews>
    <sheetView view="pageLayout" workbookViewId="0">
      <selection activeCell="A5" sqref="A5:K10"/>
    </sheetView>
  </sheetViews>
  <sheetFormatPr defaultRowHeight="15"/>
  <cols>
    <col min="1" max="2" width="10.5703125" style="4" customWidth="1"/>
    <col min="3" max="3" width="10.5703125" style="287" customWidth="1"/>
    <col min="4" max="4" width="9.28515625" style="9" customWidth="1"/>
    <col min="5" max="7" width="9.28515625" style="68" customWidth="1"/>
    <col min="8" max="8" width="10.5703125" style="29" customWidth="1"/>
    <col min="9" max="9" width="5.140625" style="29" customWidth="1"/>
    <col min="10" max="10" width="10.5703125" style="29" customWidth="1"/>
    <col min="11" max="11" width="11.28515625" style="11" customWidth="1"/>
  </cols>
  <sheetData>
    <row r="1" spans="1:11">
      <c r="A1" s="108" t="s">
        <v>270</v>
      </c>
      <c r="B1" s="47"/>
      <c r="C1" s="285"/>
      <c r="D1" s="219"/>
      <c r="E1" s="219"/>
      <c r="F1" s="219"/>
      <c r="G1" s="219"/>
      <c r="H1" s="60"/>
      <c r="I1" s="60"/>
      <c r="J1" s="60"/>
      <c r="K1" s="61"/>
    </row>
    <row r="2" spans="1:11">
      <c r="A2" s="421" t="s">
        <v>0</v>
      </c>
      <c r="B2" s="421" t="s">
        <v>1</v>
      </c>
      <c r="C2" s="433"/>
      <c r="D2" s="432" t="s">
        <v>2</v>
      </c>
      <c r="E2" s="425"/>
      <c r="F2" s="425"/>
      <c r="G2" s="433"/>
      <c r="H2" s="421" t="s">
        <v>6</v>
      </c>
      <c r="I2" s="421" t="s">
        <v>7</v>
      </c>
      <c r="J2" s="421" t="s">
        <v>8</v>
      </c>
      <c r="K2" s="434" t="s">
        <v>9</v>
      </c>
    </row>
    <row r="3" spans="1:11">
      <c r="A3" s="422"/>
      <c r="B3" s="422"/>
      <c r="C3" s="461"/>
      <c r="D3" s="7" t="s">
        <v>3</v>
      </c>
      <c r="E3" s="220" t="s">
        <v>4</v>
      </c>
      <c r="F3" s="220" t="s">
        <v>5</v>
      </c>
      <c r="G3" s="220" t="s">
        <v>45</v>
      </c>
      <c r="H3" s="422"/>
      <c r="I3" s="422"/>
      <c r="J3" s="422"/>
      <c r="K3" s="435"/>
    </row>
    <row r="5" spans="1:11">
      <c r="C5" s="286"/>
      <c r="D5" s="408" t="s">
        <v>227</v>
      </c>
      <c r="E5" s="409"/>
      <c r="F5" s="409"/>
      <c r="G5" s="409"/>
      <c r="H5" s="2"/>
      <c r="I5" s="2"/>
      <c r="J5" s="2"/>
      <c r="K5" s="10"/>
    </row>
    <row r="6" spans="1:11">
      <c r="D6" s="408"/>
      <c r="E6" s="409"/>
      <c r="F6" s="409"/>
      <c r="G6" s="409"/>
    </row>
    <row r="7" spans="1:11" ht="15.75" thickBot="1">
      <c r="D7" s="416" t="s">
        <v>229</v>
      </c>
      <c r="E7" s="417"/>
      <c r="F7" s="462"/>
      <c r="G7" s="463"/>
    </row>
    <row r="8" spans="1:11" ht="15" customHeight="1" thickBot="1">
      <c r="A8" s="50">
        <v>9</v>
      </c>
      <c r="B8" s="48">
        <v>1</v>
      </c>
      <c r="C8" s="288">
        <f>SUM(A8*B8)</f>
        <v>9</v>
      </c>
      <c r="D8" s="39">
        <f>'Labour Analysis'!$E$39*0.5</f>
        <v>10</v>
      </c>
      <c r="E8" s="34">
        <v>0</v>
      </c>
      <c r="F8" s="34">
        <v>50</v>
      </c>
      <c r="G8" s="34">
        <v>0</v>
      </c>
      <c r="H8" s="27">
        <f>$C8</f>
        <v>9</v>
      </c>
      <c r="I8" s="27" t="s">
        <v>44</v>
      </c>
      <c r="J8" s="59">
        <f>SUM(D8:G8)</f>
        <v>60</v>
      </c>
      <c r="K8" s="42">
        <f>SUM(H8*J8)</f>
        <v>540</v>
      </c>
    </row>
    <row r="11" spans="1:11" ht="15.75" thickBot="1">
      <c r="D11" s="416" t="s">
        <v>228</v>
      </c>
      <c r="E11" s="417"/>
      <c r="F11" s="462"/>
      <c r="G11" s="463"/>
    </row>
    <row r="12" spans="1:11" ht="15.75" thickBot="1">
      <c r="A12" s="50">
        <v>7</v>
      </c>
      <c r="B12" s="48">
        <v>1</v>
      </c>
      <c r="C12" s="288">
        <f>SUM(A12*B12)</f>
        <v>7</v>
      </c>
      <c r="D12" s="39">
        <f>'Labour Analysis'!$E$39*0.6</f>
        <v>12</v>
      </c>
      <c r="E12" s="34">
        <v>0</v>
      </c>
      <c r="F12" s="34">
        <v>80</v>
      </c>
      <c r="G12" s="34">
        <v>0</v>
      </c>
      <c r="H12" s="27">
        <f>$C12</f>
        <v>7</v>
      </c>
      <c r="I12" s="27" t="s">
        <v>44</v>
      </c>
      <c r="J12" s="59">
        <f>SUM(D12:G12)</f>
        <v>92</v>
      </c>
      <c r="K12" s="42">
        <f>SUM(H12*J12)</f>
        <v>644</v>
      </c>
    </row>
    <row r="15" spans="1:11" ht="15" customHeight="1"/>
    <row r="31" ht="15" customHeight="1"/>
    <row r="38" ht="15" customHeight="1"/>
    <row r="49" spans="2:11" ht="15" customHeight="1"/>
    <row r="60" spans="2:11" ht="15" customHeight="1"/>
    <row r="61" spans="2:11" ht="15.75" thickBot="1"/>
    <row r="62" spans="2:11" ht="17.25" thickTop="1" thickBot="1">
      <c r="B62" s="405" t="s">
        <v>36</v>
      </c>
      <c r="C62" s="406"/>
      <c r="D62" s="148">
        <f>SUMPRODUCT(D1:D61,$H1:$H61)</f>
        <v>174</v>
      </c>
      <c r="E62" s="148">
        <f>SUMPRODUCT(E1:E61,$H1:$H61)</f>
        <v>0</v>
      </c>
      <c r="F62" s="148">
        <f>SUMPRODUCT(F1:F61,$H1:$H61)</f>
        <v>1010</v>
      </c>
      <c r="G62" s="148">
        <f>SUMPRODUCT(G1:G61,$H1:$H61)</f>
        <v>0</v>
      </c>
      <c r="H62" s="57">
        <f>SUM(D62:G62)</f>
        <v>1184</v>
      </c>
      <c r="I62" s="54"/>
      <c r="J62" s="199"/>
      <c r="K62" s="56">
        <f>SUM(K4:K61)</f>
        <v>1184</v>
      </c>
    </row>
    <row r="63" spans="2:11">
      <c r="B63" s="29"/>
      <c r="C63" s="289"/>
      <c r="E63" s="223"/>
      <c r="F63" s="223"/>
      <c r="G63" s="17"/>
      <c r="H63" s="4"/>
      <c r="I63" s="4"/>
      <c r="J63" s="4"/>
      <c r="K63" s="58" t="str">
        <f>IF((H62+J62)=K62,"Correct")</f>
        <v>Correct</v>
      </c>
    </row>
    <row r="69" ht="15" customHeight="1"/>
    <row r="71" ht="15" customHeight="1"/>
    <row r="75" ht="15" customHeight="1"/>
    <row r="76" ht="15" customHeight="1"/>
    <row r="112" ht="15" customHeight="1"/>
    <row r="117" ht="15" customHeight="1"/>
    <row r="122" ht="15" customHeight="1"/>
    <row r="124" ht="15" customHeight="1"/>
    <row r="127" ht="15" customHeight="1"/>
    <row r="130" ht="15" customHeight="1"/>
    <row r="135" ht="15" customHeight="1"/>
    <row r="140" ht="15" customHeight="1"/>
    <row r="145" ht="15" customHeight="1"/>
  </sheetData>
  <sheetProtection sheet="1" objects="1" scenarios="1" selectLockedCells="1" selectUnlockedCells="1"/>
  <mergeCells count="13">
    <mergeCell ref="K2:K3"/>
    <mergeCell ref="A2:A3"/>
    <mergeCell ref="B2:C3"/>
    <mergeCell ref="D2:G2"/>
    <mergeCell ref="H2:H3"/>
    <mergeCell ref="I2:I3"/>
    <mergeCell ref="J2:J3"/>
    <mergeCell ref="B62:C62"/>
    <mergeCell ref="D11:E11"/>
    <mergeCell ref="F11:G11"/>
    <mergeCell ref="D5:G6"/>
    <mergeCell ref="D7:E7"/>
    <mergeCell ref="F7:G7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 Ltd&amp;C&amp;P of &amp;N&amp;R&amp;A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47"/>
  <sheetViews>
    <sheetView view="pageLayout" topLeftCell="A25" workbookViewId="0">
      <selection activeCell="F35" sqref="F35"/>
    </sheetView>
  </sheetViews>
  <sheetFormatPr defaultRowHeight="15"/>
  <cols>
    <col min="1" max="1" width="7.85546875" bestFit="1" customWidth="1"/>
    <col min="2" max="2" width="18" bestFit="1" customWidth="1"/>
    <col min="3" max="3" width="21.5703125" bestFit="1" customWidth="1"/>
    <col min="4" max="4" width="14.28515625" bestFit="1" customWidth="1"/>
    <col min="5" max="5" width="8" style="120" customWidth="1"/>
    <col min="6" max="6" width="7.42578125" style="120" customWidth="1"/>
    <col min="7" max="7" width="10.140625" style="152" bestFit="1" customWidth="1"/>
  </cols>
  <sheetData>
    <row r="1" spans="1:7" ht="21">
      <c r="A1" s="384" t="s">
        <v>122</v>
      </c>
      <c r="B1" s="384"/>
      <c r="C1" s="384"/>
      <c r="D1" s="384"/>
      <c r="E1" s="384"/>
      <c r="F1" s="384"/>
      <c r="G1" s="384"/>
    </row>
    <row r="3" spans="1:7">
      <c r="A3" s="386" t="s">
        <v>176</v>
      </c>
      <c r="B3" s="386"/>
      <c r="C3" s="314">
        <v>24</v>
      </c>
      <c r="D3" t="s">
        <v>182</v>
      </c>
    </row>
    <row r="5" spans="1:7" s="153" customFormat="1" ht="15.75">
      <c r="A5" s="154" t="s">
        <v>123</v>
      </c>
      <c r="B5" s="385" t="s">
        <v>124</v>
      </c>
      <c r="C5" s="385"/>
      <c r="D5" s="385"/>
      <c r="E5" s="155" t="s">
        <v>8</v>
      </c>
      <c r="F5" s="155" t="s">
        <v>44</v>
      </c>
      <c r="G5" s="156" t="s">
        <v>9</v>
      </c>
    </row>
    <row r="6" spans="1:7">
      <c r="A6" s="50"/>
      <c r="B6" s="50" t="s">
        <v>140</v>
      </c>
      <c r="C6" s="50" t="s">
        <v>125</v>
      </c>
      <c r="D6" s="50"/>
      <c r="E6" s="27">
        <v>150</v>
      </c>
      <c r="F6" s="27">
        <f>$C$3</f>
        <v>24</v>
      </c>
      <c r="G6" s="157">
        <f>E6*F6</f>
        <v>3600</v>
      </c>
    </row>
    <row r="7" spans="1:7">
      <c r="A7" s="50"/>
      <c r="B7" s="50"/>
      <c r="C7" s="50" t="s">
        <v>126</v>
      </c>
      <c r="D7" s="50"/>
      <c r="E7" s="27">
        <v>750</v>
      </c>
      <c r="F7" s="27">
        <v>0</v>
      </c>
      <c r="G7" s="157">
        <f t="shared" ref="G7:G44" si="0">E7*F7</f>
        <v>0</v>
      </c>
    </row>
    <row r="8" spans="1:7">
      <c r="A8" s="50"/>
      <c r="B8" s="50"/>
      <c r="C8" s="50" t="s">
        <v>141</v>
      </c>
      <c r="D8" s="50"/>
      <c r="E8" s="27">
        <v>100</v>
      </c>
      <c r="F8" s="27">
        <f>$C$3</f>
        <v>24</v>
      </c>
      <c r="G8" s="157">
        <f t="shared" si="0"/>
        <v>2400</v>
      </c>
    </row>
    <row r="9" spans="1:7">
      <c r="A9" s="50"/>
      <c r="B9" s="50" t="s">
        <v>165</v>
      </c>
      <c r="C9" s="50" t="s">
        <v>142</v>
      </c>
      <c r="D9" s="50"/>
      <c r="E9" s="27">
        <v>50</v>
      </c>
      <c r="F9" s="27">
        <f>$C$3</f>
        <v>24</v>
      </c>
      <c r="G9" s="157">
        <f t="shared" si="0"/>
        <v>1200</v>
      </c>
    </row>
    <row r="10" spans="1:7">
      <c r="A10" s="50"/>
      <c r="B10" s="50"/>
      <c r="C10" s="50" t="s">
        <v>138</v>
      </c>
      <c r="D10" s="50"/>
      <c r="E10" s="27">
        <v>0.3</v>
      </c>
      <c r="F10" s="27">
        <v>4080</v>
      </c>
      <c r="G10" s="157">
        <f t="shared" si="0"/>
        <v>1224</v>
      </c>
    </row>
    <row r="11" spans="1:7">
      <c r="A11" s="50"/>
      <c r="B11" s="50" t="s">
        <v>166</v>
      </c>
      <c r="C11" s="50" t="s">
        <v>143</v>
      </c>
      <c r="D11" s="50"/>
      <c r="E11" s="27">
        <v>150</v>
      </c>
      <c r="F11" s="27">
        <v>0</v>
      </c>
      <c r="G11" s="157">
        <f t="shared" si="0"/>
        <v>0</v>
      </c>
    </row>
    <row r="12" spans="1:7">
      <c r="A12" s="50"/>
      <c r="B12" s="50"/>
      <c r="C12" s="50" t="s">
        <v>144</v>
      </c>
      <c r="D12" s="50"/>
      <c r="E12" s="27">
        <v>5000</v>
      </c>
      <c r="F12" s="27">
        <v>0</v>
      </c>
      <c r="G12" s="157">
        <f t="shared" si="0"/>
        <v>0</v>
      </c>
    </row>
    <row r="13" spans="1:7">
      <c r="A13" s="50"/>
      <c r="B13" s="50"/>
      <c r="C13" s="50" t="s">
        <v>145</v>
      </c>
      <c r="D13" s="50"/>
      <c r="E13" s="27">
        <v>1000</v>
      </c>
      <c r="F13" s="27">
        <v>0</v>
      </c>
      <c r="G13" s="157">
        <f t="shared" si="0"/>
        <v>0</v>
      </c>
    </row>
    <row r="14" spans="1:7">
      <c r="A14" s="50"/>
      <c r="B14" s="50" t="s">
        <v>167</v>
      </c>
      <c r="C14" s="50" t="s">
        <v>175</v>
      </c>
      <c r="D14" s="50" t="s">
        <v>146</v>
      </c>
      <c r="E14" s="27">
        <v>3500</v>
      </c>
      <c r="F14" s="27">
        <v>1</v>
      </c>
      <c r="G14" s="157">
        <f t="shared" si="0"/>
        <v>3500</v>
      </c>
    </row>
    <row r="15" spans="1:7">
      <c r="A15" s="50"/>
      <c r="B15" s="50"/>
      <c r="C15" s="50"/>
      <c r="D15" s="50" t="s">
        <v>147</v>
      </c>
      <c r="E15" s="27">
        <v>150</v>
      </c>
      <c r="F15" s="27">
        <v>1</v>
      </c>
      <c r="G15" s="157">
        <f t="shared" si="0"/>
        <v>150</v>
      </c>
    </row>
    <row r="16" spans="1:7">
      <c r="A16" s="50"/>
      <c r="B16" s="50"/>
      <c r="C16" s="50" t="s">
        <v>130</v>
      </c>
      <c r="D16" s="50"/>
      <c r="E16" s="27">
        <v>250</v>
      </c>
      <c r="F16" s="27">
        <v>0</v>
      </c>
      <c r="G16" s="157">
        <f t="shared" si="0"/>
        <v>0</v>
      </c>
    </row>
    <row r="17" spans="1:7">
      <c r="A17" s="50"/>
      <c r="B17" s="50"/>
      <c r="C17" s="50" t="s">
        <v>120</v>
      </c>
      <c r="D17" s="50"/>
      <c r="E17" s="27">
        <v>150</v>
      </c>
      <c r="F17" s="27">
        <v>0</v>
      </c>
      <c r="G17" s="157">
        <f t="shared" si="0"/>
        <v>0</v>
      </c>
    </row>
    <row r="18" spans="1:7">
      <c r="A18" s="50"/>
      <c r="B18" s="50"/>
      <c r="C18" s="50" t="s">
        <v>148</v>
      </c>
      <c r="D18" s="50"/>
      <c r="E18" s="27">
        <v>750</v>
      </c>
      <c r="F18" s="27">
        <v>1</v>
      </c>
      <c r="G18" s="157">
        <f t="shared" si="0"/>
        <v>750</v>
      </c>
    </row>
    <row r="19" spans="1:7">
      <c r="A19" s="50"/>
      <c r="B19" s="50"/>
      <c r="C19" s="50" t="s">
        <v>134</v>
      </c>
      <c r="D19" s="50"/>
      <c r="E19" s="27">
        <v>15</v>
      </c>
      <c r="F19" s="27">
        <v>0</v>
      </c>
      <c r="G19" s="157">
        <f t="shared" si="0"/>
        <v>0</v>
      </c>
    </row>
    <row r="20" spans="1:7">
      <c r="A20" s="50"/>
      <c r="B20" s="50"/>
      <c r="C20" s="50" t="s">
        <v>135</v>
      </c>
      <c r="D20" s="50"/>
      <c r="E20" s="27">
        <f>'Plant Analysis'!B6</f>
        <v>180</v>
      </c>
      <c r="F20" s="27">
        <v>3</v>
      </c>
      <c r="G20" s="157">
        <f t="shared" si="0"/>
        <v>540</v>
      </c>
    </row>
    <row r="21" spans="1:7">
      <c r="A21" s="50"/>
      <c r="B21" s="50"/>
      <c r="C21" s="50" t="s">
        <v>131</v>
      </c>
      <c r="D21" s="50"/>
      <c r="E21" s="27">
        <v>100</v>
      </c>
      <c r="F21" s="27">
        <v>0</v>
      </c>
      <c r="G21" s="157">
        <f t="shared" si="0"/>
        <v>0</v>
      </c>
    </row>
    <row r="22" spans="1:7">
      <c r="A22" s="50"/>
      <c r="B22" s="50" t="s">
        <v>168</v>
      </c>
      <c r="C22" s="50" t="s">
        <v>139</v>
      </c>
      <c r="D22" s="50"/>
      <c r="E22" s="27">
        <v>25</v>
      </c>
      <c r="F22" s="27">
        <f>$C$3</f>
        <v>24</v>
      </c>
      <c r="G22" s="157">
        <f t="shared" si="0"/>
        <v>600</v>
      </c>
    </row>
    <row r="23" spans="1:7">
      <c r="A23" s="50"/>
      <c r="B23" s="50"/>
      <c r="C23" s="50" t="s">
        <v>149</v>
      </c>
      <c r="D23" s="50"/>
      <c r="E23" s="27">
        <v>15</v>
      </c>
      <c r="F23" s="27">
        <v>0</v>
      </c>
      <c r="G23" s="157">
        <f t="shared" si="0"/>
        <v>0</v>
      </c>
    </row>
    <row r="24" spans="1:7">
      <c r="A24" s="50"/>
      <c r="B24" s="50"/>
      <c r="C24" s="50" t="s">
        <v>150</v>
      </c>
      <c r="D24" s="50"/>
      <c r="E24" s="27">
        <v>250</v>
      </c>
      <c r="F24" s="27">
        <v>1</v>
      </c>
      <c r="G24" s="157">
        <f t="shared" si="0"/>
        <v>250</v>
      </c>
    </row>
    <row r="25" spans="1:7">
      <c r="A25" s="50"/>
      <c r="B25" s="50" t="s">
        <v>169</v>
      </c>
      <c r="C25" s="50" t="s">
        <v>151</v>
      </c>
      <c r="D25" s="50"/>
      <c r="E25" s="27">
        <v>25</v>
      </c>
      <c r="F25" s="27">
        <f>$C$3</f>
        <v>24</v>
      </c>
      <c r="G25" s="157">
        <f t="shared" si="0"/>
        <v>600</v>
      </c>
    </row>
    <row r="26" spans="1:7">
      <c r="A26" s="50"/>
      <c r="B26" s="50"/>
      <c r="C26" s="50" t="s">
        <v>127</v>
      </c>
      <c r="D26" s="50"/>
      <c r="E26" s="27">
        <v>25</v>
      </c>
      <c r="F26" s="27">
        <f>$C$3</f>
        <v>24</v>
      </c>
      <c r="G26" s="157">
        <f t="shared" si="0"/>
        <v>600</v>
      </c>
    </row>
    <row r="27" spans="1:7">
      <c r="A27" s="50"/>
      <c r="B27" s="50"/>
      <c r="C27" s="50" t="s">
        <v>129</v>
      </c>
      <c r="D27" s="50"/>
      <c r="E27" s="27">
        <v>35</v>
      </c>
      <c r="F27" s="27">
        <f>$C$3</f>
        <v>24</v>
      </c>
      <c r="G27" s="157">
        <f t="shared" si="0"/>
        <v>840</v>
      </c>
    </row>
    <row r="28" spans="1:7">
      <c r="A28" s="50"/>
      <c r="B28" s="50"/>
      <c r="C28" s="50" t="s">
        <v>128</v>
      </c>
      <c r="D28" s="50"/>
      <c r="E28" s="27">
        <v>25</v>
      </c>
      <c r="F28" s="27">
        <v>0</v>
      </c>
      <c r="G28" s="157">
        <f t="shared" si="0"/>
        <v>0</v>
      </c>
    </row>
    <row r="29" spans="1:7">
      <c r="A29" s="50"/>
      <c r="B29" s="50" t="s">
        <v>170</v>
      </c>
      <c r="C29" s="50" t="s">
        <v>174</v>
      </c>
      <c r="D29" s="50" t="s">
        <v>132</v>
      </c>
      <c r="E29" s="27">
        <v>50</v>
      </c>
      <c r="F29" s="27">
        <v>0</v>
      </c>
      <c r="G29" s="157">
        <f t="shared" si="0"/>
        <v>0</v>
      </c>
    </row>
    <row r="30" spans="1:7">
      <c r="A30" s="50"/>
      <c r="B30" s="50"/>
      <c r="C30" s="50"/>
      <c r="D30" s="50" t="s">
        <v>133</v>
      </c>
      <c r="E30" s="27">
        <v>15</v>
      </c>
      <c r="F30" s="27">
        <f>$C$3</f>
        <v>24</v>
      </c>
      <c r="G30" s="157">
        <f t="shared" si="0"/>
        <v>360</v>
      </c>
    </row>
    <row r="31" spans="1:7">
      <c r="A31" s="50"/>
      <c r="B31" s="50"/>
      <c r="C31" s="50" t="s">
        <v>152</v>
      </c>
      <c r="D31" s="50"/>
      <c r="E31" s="27">
        <v>15</v>
      </c>
      <c r="F31" s="27">
        <f>$C$3</f>
        <v>24</v>
      </c>
      <c r="G31" s="157">
        <f t="shared" si="0"/>
        <v>360</v>
      </c>
    </row>
    <row r="32" spans="1:7">
      <c r="A32" s="50"/>
      <c r="B32" s="50"/>
      <c r="C32" s="50" t="s">
        <v>136</v>
      </c>
      <c r="D32" s="50"/>
      <c r="E32" s="27">
        <v>200</v>
      </c>
      <c r="F32" s="27">
        <v>0</v>
      </c>
      <c r="G32" s="157">
        <f t="shared" si="0"/>
        <v>0</v>
      </c>
    </row>
    <row r="33" spans="1:7">
      <c r="A33" s="50"/>
      <c r="B33" s="50"/>
      <c r="C33" s="50" t="s">
        <v>153</v>
      </c>
      <c r="D33" s="50"/>
      <c r="E33" s="27">
        <v>15</v>
      </c>
      <c r="F33" s="27">
        <f>$C$3</f>
        <v>24</v>
      </c>
      <c r="G33" s="157">
        <f t="shared" si="0"/>
        <v>360</v>
      </c>
    </row>
    <row r="34" spans="1:7">
      <c r="A34" s="50"/>
      <c r="B34" s="50"/>
      <c r="C34" s="50" t="s">
        <v>154</v>
      </c>
      <c r="D34" s="50"/>
      <c r="E34" s="27">
        <v>25</v>
      </c>
      <c r="F34" s="27">
        <v>24</v>
      </c>
      <c r="G34" s="157">
        <f t="shared" si="0"/>
        <v>600</v>
      </c>
    </row>
    <row r="35" spans="1:7">
      <c r="A35" s="50"/>
      <c r="B35" s="50" t="s">
        <v>171</v>
      </c>
      <c r="C35" s="50" t="s">
        <v>173</v>
      </c>
      <c r="D35" s="50" t="s">
        <v>155</v>
      </c>
      <c r="E35" s="27">
        <v>150</v>
      </c>
      <c r="F35" s="27">
        <v>0</v>
      </c>
      <c r="G35" s="157">
        <f t="shared" si="0"/>
        <v>0</v>
      </c>
    </row>
    <row r="36" spans="1:7">
      <c r="A36" s="50"/>
      <c r="B36" s="50"/>
      <c r="C36" s="50"/>
      <c r="D36" s="50" t="s">
        <v>156</v>
      </c>
      <c r="E36" s="27">
        <v>500</v>
      </c>
      <c r="F36" s="27">
        <v>1</v>
      </c>
      <c r="G36" s="157">
        <f t="shared" si="0"/>
        <v>500</v>
      </c>
    </row>
    <row r="37" spans="1:7">
      <c r="A37" s="50"/>
      <c r="B37" s="50"/>
      <c r="C37" s="50" t="s">
        <v>137</v>
      </c>
      <c r="D37" s="50"/>
      <c r="E37" s="27">
        <v>500</v>
      </c>
      <c r="F37" s="27">
        <v>0</v>
      </c>
      <c r="G37" s="157">
        <f t="shared" si="0"/>
        <v>0</v>
      </c>
    </row>
    <row r="38" spans="1:7">
      <c r="A38" s="50"/>
      <c r="B38" s="50"/>
      <c r="C38" s="50" t="s">
        <v>157</v>
      </c>
      <c r="D38" s="50"/>
      <c r="E38" s="27">
        <v>0</v>
      </c>
      <c r="F38" s="27">
        <v>0</v>
      </c>
      <c r="G38" s="157">
        <f t="shared" si="0"/>
        <v>0</v>
      </c>
    </row>
    <row r="39" spans="1:7">
      <c r="A39" s="50"/>
      <c r="B39" s="50"/>
      <c r="C39" s="50" t="s">
        <v>158</v>
      </c>
      <c r="D39" s="50"/>
      <c r="E39" s="27">
        <v>0</v>
      </c>
      <c r="F39" s="27">
        <v>0</v>
      </c>
      <c r="G39" s="157">
        <f t="shared" si="0"/>
        <v>0</v>
      </c>
    </row>
    <row r="40" spans="1:7">
      <c r="A40" s="50"/>
      <c r="B40" s="50"/>
      <c r="C40" s="50" t="s">
        <v>159</v>
      </c>
      <c r="D40" s="50"/>
      <c r="E40" s="27">
        <v>0</v>
      </c>
      <c r="F40" s="27">
        <v>0</v>
      </c>
      <c r="G40" s="157">
        <f t="shared" si="0"/>
        <v>0</v>
      </c>
    </row>
    <row r="41" spans="1:7">
      <c r="A41" s="50"/>
      <c r="B41" s="50" t="s">
        <v>172</v>
      </c>
      <c r="C41" s="50" t="s">
        <v>160</v>
      </c>
      <c r="D41" s="50"/>
      <c r="E41" s="27">
        <v>0</v>
      </c>
      <c r="F41" s="27">
        <v>0</v>
      </c>
      <c r="G41" s="157">
        <f t="shared" si="0"/>
        <v>0</v>
      </c>
    </row>
    <row r="42" spans="1:7">
      <c r="A42" s="50"/>
      <c r="B42" s="50"/>
      <c r="C42" s="50" t="s">
        <v>161</v>
      </c>
      <c r="D42" s="50"/>
      <c r="E42" s="27">
        <v>0</v>
      </c>
      <c r="F42" s="27">
        <v>0</v>
      </c>
      <c r="G42" s="157">
        <f t="shared" si="0"/>
        <v>0</v>
      </c>
    </row>
    <row r="43" spans="1:7">
      <c r="A43" s="50"/>
      <c r="B43" s="50"/>
      <c r="C43" s="50" t="s">
        <v>162</v>
      </c>
      <c r="D43" s="50"/>
      <c r="E43" s="27">
        <v>0</v>
      </c>
      <c r="F43" s="27">
        <v>0</v>
      </c>
      <c r="G43" s="157">
        <f t="shared" si="0"/>
        <v>0</v>
      </c>
    </row>
    <row r="44" spans="1:7">
      <c r="A44" s="50"/>
      <c r="B44" s="50"/>
      <c r="C44" s="50" t="s">
        <v>163</v>
      </c>
      <c r="D44" s="50"/>
      <c r="E44" s="27">
        <v>0</v>
      </c>
      <c r="F44" s="27">
        <v>0</v>
      </c>
      <c r="G44" s="157">
        <f t="shared" si="0"/>
        <v>0</v>
      </c>
    </row>
    <row r="45" spans="1:7">
      <c r="E45" s="387" t="s">
        <v>179</v>
      </c>
      <c r="F45" s="387"/>
      <c r="G45" s="157">
        <f>SUM(G6:G44)</f>
        <v>18434</v>
      </c>
    </row>
    <row r="46" spans="1:7" ht="15.75" thickBot="1">
      <c r="E46" s="382" t="s">
        <v>180</v>
      </c>
      <c r="F46" s="382"/>
      <c r="G46" s="158"/>
    </row>
    <row r="47" spans="1:7" ht="15.75" thickBot="1">
      <c r="E47" s="383" t="s">
        <v>181</v>
      </c>
      <c r="F47" s="383"/>
      <c r="G47" s="159">
        <f>SUM(G45-G46)</f>
        <v>18434</v>
      </c>
    </row>
  </sheetData>
  <sheetProtection sheet="1" objects="1" scenarios="1" selectLockedCells="1" selectUnlockedCells="1"/>
  <mergeCells count="6">
    <mergeCell ref="E46:F46"/>
    <mergeCell ref="E47:F47"/>
    <mergeCell ref="A1:G1"/>
    <mergeCell ref="B5:D5"/>
    <mergeCell ref="A3:B3"/>
    <mergeCell ref="E45:F45"/>
  </mergeCells>
  <pageMargins left="0.7" right="0.7" top="0.75" bottom="0.75" header="0.3" footer="0.3"/>
  <pageSetup paperSize="9" orientation="portrait" horizontalDpi="4294967293" r:id="rId1"/>
  <headerFooter>
    <oddHeader>&amp;LBES: 07015&amp;R&amp;F</oddHeader>
    <oddFooter>&amp;L&amp;G B.E.S. Ltd&amp;C&amp;P of &amp;N&amp;R&amp;A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6"/>
  <dimension ref="A1:K92"/>
  <sheetViews>
    <sheetView view="pageLayout" topLeftCell="A22" workbookViewId="0">
      <selection activeCell="D53" sqref="D53"/>
    </sheetView>
  </sheetViews>
  <sheetFormatPr defaultRowHeight="15"/>
  <cols>
    <col min="1" max="2" width="10.5703125" style="4" customWidth="1"/>
    <col min="3" max="3" width="10.5703125" style="287" customWidth="1"/>
    <col min="4" max="4" width="9.28515625" style="9" customWidth="1"/>
    <col min="5" max="7" width="9.28515625" style="68" customWidth="1"/>
    <col min="8" max="8" width="10.5703125" style="29" customWidth="1"/>
    <col min="9" max="9" width="5.140625" style="29" customWidth="1"/>
    <col min="10" max="10" width="10.5703125" style="29" customWidth="1"/>
    <col min="11" max="11" width="11.28515625" style="11" customWidth="1"/>
  </cols>
  <sheetData>
    <row r="1" spans="1:11">
      <c r="A1" s="108" t="s">
        <v>271</v>
      </c>
      <c r="B1" s="47"/>
      <c r="C1" s="285"/>
      <c r="D1" s="219"/>
      <c r="E1" s="219"/>
      <c r="F1" s="219"/>
      <c r="G1" s="219"/>
      <c r="H1" s="60"/>
      <c r="I1" s="60"/>
      <c r="J1" s="60"/>
      <c r="K1" s="61"/>
    </row>
    <row r="2" spans="1:11">
      <c r="A2" s="421" t="s">
        <v>0</v>
      </c>
      <c r="B2" s="421" t="s">
        <v>1</v>
      </c>
      <c r="C2" s="433"/>
      <c r="D2" s="432" t="s">
        <v>2</v>
      </c>
      <c r="E2" s="425"/>
      <c r="F2" s="425"/>
      <c r="G2" s="433"/>
      <c r="H2" s="421" t="s">
        <v>6</v>
      </c>
      <c r="I2" s="421" t="s">
        <v>7</v>
      </c>
      <c r="J2" s="421" t="s">
        <v>8</v>
      </c>
      <c r="K2" s="434" t="s">
        <v>9</v>
      </c>
    </row>
    <row r="3" spans="1:11">
      <c r="A3" s="422"/>
      <c r="B3" s="422"/>
      <c r="C3" s="461"/>
      <c r="D3" s="7" t="s">
        <v>3</v>
      </c>
      <c r="E3" s="220" t="s">
        <v>4</v>
      </c>
      <c r="F3" s="220" t="s">
        <v>5</v>
      </c>
      <c r="G3" s="220" t="s">
        <v>45</v>
      </c>
      <c r="H3" s="422"/>
      <c r="I3" s="422"/>
      <c r="J3" s="422"/>
      <c r="K3" s="435"/>
    </row>
    <row r="4" spans="1:11">
      <c r="A4" s="222"/>
      <c r="B4" s="222"/>
      <c r="C4" s="234"/>
      <c r="D4" s="19"/>
      <c r="E4" s="20"/>
      <c r="F4" s="20"/>
      <c r="G4" s="20"/>
      <c r="H4" s="22"/>
      <c r="I4" s="22"/>
      <c r="J4" s="22"/>
      <c r="K4" s="21"/>
    </row>
    <row r="5" spans="1:11" ht="15" customHeight="1">
      <c r="A5" s="51"/>
      <c r="B5" s="51"/>
      <c r="C5" s="286"/>
      <c r="D5" s="408" t="s">
        <v>43</v>
      </c>
      <c r="E5" s="409"/>
      <c r="F5" s="409"/>
      <c r="G5" s="409"/>
    </row>
    <row r="6" spans="1:11">
      <c r="D6" s="408"/>
      <c r="E6" s="409"/>
      <c r="F6" s="409"/>
      <c r="G6" s="409"/>
    </row>
    <row r="7" spans="1:11">
      <c r="D7" s="408"/>
      <c r="E7" s="409"/>
      <c r="F7" s="409"/>
      <c r="G7" s="409"/>
    </row>
    <row r="8" spans="1:11" ht="15.75" thickBot="1">
      <c r="D8" s="416" t="s">
        <v>245</v>
      </c>
      <c r="E8" s="417"/>
      <c r="F8" s="462"/>
      <c r="G8" s="463"/>
    </row>
    <row r="9" spans="1:11" ht="15.75" thickBot="1">
      <c r="A9" s="27">
        <v>9</v>
      </c>
      <c r="B9" s="59">
        <v>1</v>
      </c>
      <c r="C9" s="338">
        <f>SUM(A9*B9)</f>
        <v>9</v>
      </c>
      <c r="D9" s="39">
        <f>'Labour Analysis'!E39*0.3</f>
        <v>6</v>
      </c>
      <c r="E9" s="34">
        <v>0</v>
      </c>
      <c r="F9" s="34">
        <f>'Material Analysis'!I62</f>
        <v>84</v>
      </c>
      <c r="G9" s="34">
        <v>0</v>
      </c>
      <c r="H9" s="27">
        <f>$C9</f>
        <v>9</v>
      </c>
      <c r="I9" s="27" t="s">
        <v>44</v>
      </c>
      <c r="J9" s="59">
        <f>SUM(D9:G9)</f>
        <v>90</v>
      </c>
      <c r="K9" s="42">
        <f>SUM(H9*J9)</f>
        <v>810</v>
      </c>
    </row>
    <row r="10" spans="1:11">
      <c r="A10" s="29"/>
      <c r="B10" s="29"/>
      <c r="C10" s="213"/>
    </row>
    <row r="11" spans="1:11">
      <c r="A11" s="29"/>
      <c r="B11" s="29"/>
      <c r="C11" s="213"/>
    </row>
    <row r="12" spans="1:11" ht="15" customHeight="1" thickBot="1">
      <c r="A12" s="29"/>
      <c r="B12" s="29"/>
      <c r="C12" s="213"/>
      <c r="D12" s="416" t="s">
        <v>247</v>
      </c>
      <c r="E12" s="417"/>
      <c r="F12" s="462"/>
      <c r="G12" s="463"/>
    </row>
    <row r="13" spans="1:11" ht="15.75" thickBot="1">
      <c r="A13" s="27">
        <v>3</v>
      </c>
      <c r="B13" s="59">
        <v>1</v>
      </c>
      <c r="C13" s="338">
        <f>SUM(A13*B13)</f>
        <v>3</v>
      </c>
      <c r="D13" s="39">
        <f>'Labour Analysis'!E39*0.3</f>
        <v>6</v>
      </c>
      <c r="E13" s="34">
        <v>0</v>
      </c>
      <c r="F13" s="34">
        <f>'Material Analysis'!I63</f>
        <v>105</v>
      </c>
      <c r="G13" s="34">
        <v>0</v>
      </c>
      <c r="H13" s="27">
        <f>$C13</f>
        <v>3</v>
      </c>
      <c r="I13" s="27" t="s">
        <v>44</v>
      </c>
      <c r="J13" s="59">
        <f>SUM(D13:G13)</f>
        <v>111</v>
      </c>
      <c r="K13" s="42">
        <f>SUM(H13*J13)</f>
        <v>333</v>
      </c>
    </row>
    <row r="14" spans="1:11">
      <c r="A14" s="29"/>
      <c r="B14" s="29"/>
      <c r="C14" s="213"/>
    </row>
    <row r="15" spans="1:11">
      <c r="A15" s="29"/>
      <c r="B15" s="29"/>
      <c r="C15" s="213"/>
    </row>
    <row r="16" spans="1:11" ht="15.75" thickBot="1">
      <c r="A16" s="29"/>
      <c r="B16" s="29"/>
      <c r="C16" s="213"/>
      <c r="D16" s="416" t="s">
        <v>248</v>
      </c>
      <c r="E16" s="417"/>
      <c r="F16" s="462"/>
      <c r="G16" s="463"/>
    </row>
    <row r="17" spans="1:11" ht="15" customHeight="1" thickBot="1">
      <c r="A17" s="27">
        <v>7</v>
      </c>
      <c r="B17" s="59">
        <v>1</v>
      </c>
      <c r="C17" s="338">
        <f>SUM(A17*B17)</f>
        <v>7</v>
      </c>
      <c r="D17" s="39">
        <f>'Labour Analysis'!E39*0.4</f>
        <v>8</v>
      </c>
      <c r="E17" s="34">
        <v>0</v>
      </c>
      <c r="F17" s="34">
        <f>'Material Analysis'!I64</f>
        <v>117</v>
      </c>
      <c r="G17" s="34">
        <v>0</v>
      </c>
      <c r="H17" s="27">
        <f>$C17</f>
        <v>7</v>
      </c>
      <c r="I17" s="27" t="s">
        <v>44</v>
      </c>
      <c r="J17" s="59">
        <f>SUM(D17:G17)</f>
        <v>125</v>
      </c>
      <c r="K17" s="42">
        <f>SUM(H17*J17)</f>
        <v>875</v>
      </c>
    </row>
    <row r="18" spans="1:11">
      <c r="A18" s="29"/>
      <c r="B18" s="29"/>
      <c r="C18" s="213"/>
    </row>
    <row r="19" spans="1:11">
      <c r="A19" s="29"/>
      <c r="B19" s="29"/>
      <c r="C19" s="213"/>
    </row>
    <row r="20" spans="1:11" ht="15.75" thickBot="1">
      <c r="A20" s="29"/>
      <c r="B20" s="29"/>
      <c r="C20" s="213"/>
      <c r="D20" s="416" t="s">
        <v>252</v>
      </c>
      <c r="E20" s="417"/>
      <c r="F20" s="462"/>
      <c r="G20" s="463"/>
    </row>
    <row r="21" spans="1:11" ht="15.75" thickBot="1">
      <c r="A21" s="27">
        <v>1</v>
      </c>
      <c r="B21" s="59">
        <v>1</v>
      </c>
      <c r="C21" s="338">
        <f>SUM(A21*B21)</f>
        <v>1</v>
      </c>
      <c r="D21" s="39">
        <f>'Labour Analysis'!E39*0.4</f>
        <v>8</v>
      </c>
      <c r="E21" s="34">
        <v>0</v>
      </c>
      <c r="F21" s="34">
        <f>'Material Analysis'!I65</f>
        <v>174</v>
      </c>
      <c r="G21" s="34">
        <v>0</v>
      </c>
      <c r="H21" s="27">
        <f>$C21</f>
        <v>1</v>
      </c>
      <c r="I21" s="27" t="s">
        <v>44</v>
      </c>
      <c r="J21" s="59">
        <f>SUM(D21:G21)</f>
        <v>182</v>
      </c>
      <c r="K21" s="42">
        <f>SUM(H21*J21)</f>
        <v>182</v>
      </c>
    </row>
    <row r="22" spans="1:11" ht="15" customHeight="1">
      <c r="A22" s="29"/>
      <c r="B22" s="29"/>
      <c r="C22" s="213"/>
    </row>
    <row r="23" spans="1:11">
      <c r="A23" s="29"/>
      <c r="B23" s="29"/>
      <c r="C23" s="213"/>
    </row>
    <row r="24" spans="1:11" ht="15.75" thickBot="1">
      <c r="A24" s="29"/>
      <c r="B24" s="29"/>
      <c r="C24" s="213"/>
      <c r="D24" s="416" t="s">
        <v>899</v>
      </c>
      <c r="E24" s="417"/>
      <c r="F24" s="462"/>
      <c r="G24" s="463"/>
    </row>
    <row r="25" spans="1:11" ht="15.75" thickBot="1">
      <c r="A25" s="27">
        <v>1</v>
      </c>
      <c r="B25" s="59">
        <v>1</v>
      </c>
      <c r="C25" s="338">
        <f>SUM(A25*B25)</f>
        <v>1</v>
      </c>
      <c r="D25" s="39">
        <f>'Labour Analysis'!$E$39*0.75</f>
        <v>15</v>
      </c>
      <c r="E25" s="34">
        <v>0</v>
      </c>
      <c r="F25" s="34">
        <f>'Material Analysis'!I66</f>
        <v>405</v>
      </c>
      <c r="G25" s="34">
        <v>0</v>
      </c>
      <c r="H25" s="27">
        <f>$C25</f>
        <v>1</v>
      </c>
      <c r="I25" s="27" t="s">
        <v>44</v>
      </c>
      <c r="J25" s="59">
        <f>SUM(D25:G25)</f>
        <v>420</v>
      </c>
      <c r="K25" s="42">
        <f>SUM(H25*J25)</f>
        <v>420</v>
      </c>
    </row>
    <row r="28" spans="1:11" ht="15" customHeight="1" thickBot="1">
      <c r="A28" s="29"/>
      <c r="B28" s="29"/>
      <c r="C28" s="213"/>
      <c r="D28" s="416" t="s">
        <v>639</v>
      </c>
      <c r="E28" s="417"/>
      <c r="F28" s="462"/>
      <c r="G28" s="463"/>
    </row>
    <row r="29" spans="1:11" ht="15.75" thickBot="1">
      <c r="A29" s="27">
        <v>4</v>
      </c>
      <c r="B29" s="59">
        <v>1</v>
      </c>
      <c r="C29" s="338">
        <f>SUM(A29*B29)</f>
        <v>4</v>
      </c>
      <c r="D29" s="39">
        <f>'Labour Analysis'!$E$39*0.75</f>
        <v>15</v>
      </c>
      <c r="E29" s="34">
        <v>0</v>
      </c>
      <c r="F29" s="34">
        <f>'Material Analysis'!I67</f>
        <v>69</v>
      </c>
      <c r="G29" s="34">
        <v>0</v>
      </c>
      <c r="H29" s="27">
        <f>$C29</f>
        <v>4</v>
      </c>
      <c r="I29" s="27" t="s">
        <v>44</v>
      </c>
      <c r="J29" s="59">
        <f>SUM(D29:G29)</f>
        <v>84</v>
      </c>
      <c r="K29" s="42">
        <f>SUM(H29*J29)</f>
        <v>336</v>
      </c>
    </row>
    <row r="32" spans="1:11">
      <c r="D32" s="408" t="s">
        <v>237</v>
      </c>
      <c r="E32" s="409"/>
      <c r="F32" s="409"/>
      <c r="G32" s="409"/>
    </row>
    <row r="33" spans="1:11" ht="15.75" thickBot="1">
      <c r="D33" s="408"/>
      <c r="E33" s="409"/>
      <c r="F33" s="409"/>
      <c r="G33" s="409"/>
    </row>
    <row r="34" spans="1:11" ht="15.75" thickBot="1">
      <c r="B34" s="48" t="s">
        <v>11</v>
      </c>
      <c r="C34" s="288" t="s">
        <v>12</v>
      </c>
      <c r="D34" s="39">
        <v>0</v>
      </c>
      <c r="E34" s="34">
        <v>0</v>
      </c>
      <c r="F34" s="34">
        <v>0</v>
      </c>
      <c r="G34" s="34">
        <v>600</v>
      </c>
      <c r="H34" s="27">
        <v>1</v>
      </c>
      <c r="I34" s="27" t="s">
        <v>44</v>
      </c>
      <c r="J34" s="59">
        <f>SUM(D34:G34)</f>
        <v>600</v>
      </c>
      <c r="K34" s="49">
        <f>SUM(H34*J34)</f>
        <v>600</v>
      </c>
    </row>
    <row r="36" spans="1:11" ht="15" customHeight="1"/>
    <row r="37" spans="1:11" ht="15.75" thickBot="1">
      <c r="A37" s="29"/>
      <c r="B37" s="29"/>
      <c r="C37" s="213"/>
      <c r="D37" s="464" t="s">
        <v>938</v>
      </c>
      <c r="E37" s="465"/>
      <c r="F37" s="465"/>
      <c r="G37" s="466"/>
    </row>
    <row r="38" spans="1:11" ht="15" customHeight="1" thickBot="1">
      <c r="A38" s="27">
        <v>1</v>
      </c>
      <c r="B38" s="59">
        <v>1</v>
      </c>
      <c r="C38" s="338">
        <f>SUM(A38*B38)</f>
        <v>1</v>
      </c>
      <c r="D38" s="39">
        <f>'Labour Analysis'!$E$39*0.75</f>
        <v>15</v>
      </c>
      <c r="E38" s="34">
        <v>0</v>
      </c>
      <c r="F38" s="34">
        <v>35</v>
      </c>
      <c r="G38" s="34">
        <v>0</v>
      </c>
      <c r="H38" s="27">
        <f>$C38</f>
        <v>1</v>
      </c>
      <c r="I38" s="27" t="s">
        <v>44</v>
      </c>
      <c r="J38" s="59">
        <f>SUM(D38:G38)</f>
        <v>50</v>
      </c>
      <c r="K38" s="42">
        <f>SUM(H38*J38)</f>
        <v>50</v>
      </c>
    </row>
    <row r="42" spans="1:11" ht="15" customHeight="1"/>
    <row r="47" spans="1:11" ht="15" customHeight="1"/>
    <row r="49" spans="2:11" ht="15" customHeight="1"/>
    <row r="52" spans="2:11" ht="15" customHeight="1"/>
    <row r="60" spans="2:11" ht="15" customHeight="1"/>
    <row r="61" spans="2:11" ht="15.75" thickBot="1"/>
    <row r="62" spans="2:11" ht="17.25" thickTop="1" thickBot="1">
      <c r="B62" s="405" t="s">
        <v>36</v>
      </c>
      <c r="C62" s="406"/>
      <c r="D62" s="148">
        <f>SUMPRODUCT(D1:D61,$H1:$H61)</f>
        <v>226</v>
      </c>
      <c r="E62" s="148">
        <f>SUMPRODUCT(E1:E61,$H1:$H61)</f>
        <v>0</v>
      </c>
      <c r="F62" s="148">
        <f>SUMPRODUCT(F1:F61,$H1:$H61)</f>
        <v>2780</v>
      </c>
      <c r="G62" s="148">
        <f>SUMPRODUCT(G1:G61,$H1:$H61)</f>
        <v>600</v>
      </c>
      <c r="H62" s="57">
        <f>SUM(D62:G62)</f>
        <v>3606</v>
      </c>
      <c r="I62" s="54"/>
      <c r="J62" s="199"/>
      <c r="K62" s="56">
        <f>SUM(K5:K61)</f>
        <v>3606</v>
      </c>
    </row>
    <row r="63" spans="2:11">
      <c r="B63" s="29"/>
      <c r="C63" s="289"/>
      <c r="E63" s="223"/>
      <c r="F63" s="223"/>
      <c r="G63" s="17"/>
      <c r="H63" s="4"/>
      <c r="I63" s="4"/>
      <c r="J63" s="4"/>
      <c r="K63" s="58" t="str">
        <f>IF((H62+J62)=K62,"Correct")</f>
        <v>Correct</v>
      </c>
    </row>
    <row r="65" ht="15" customHeight="1"/>
    <row r="70" ht="15" customHeight="1"/>
    <row r="76" ht="15" customHeight="1"/>
    <row r="81" ht="15" customHeight="1"/>
    <row r="86" ht="15" customHeight="1"/>
    <row r="91" ht="15" customHeight="1"/>
    <row r="92" ht="15" customHeight="1"/>
  </sheetData>
  <sheetProtection sheet="1" objects="1" scenarios="1" selectLockedCells="1" selectUnlockedCells="1"/>
  <mergeCells count="23">
    <mergeCell ref="F8:G8"/>
    <mergeCell ref="D20:E20"/>
    <mergeCell ref="F20:G20"/>
    <mergeCell ref="K2:K3"/>
    <mergeCell ref="A2:A3"/>
    <mergeCell ref="B2:C3"/>
    <mergeCell ref="D2:G2"/>
    <mergeCell ref="H2:H3"/>
    <mergeCell ref="I2:I3"/>
    <mergeCell ref="J2:J3"/>
    <mergeCell ref="D5:G7"/>
    <mergeCell ref="D8:E8"/>
    <mergeCell ref="D24:E24"/>
    <mergeCell ref="F24:G24"/>
    <mergeCell ref="D32:G33"/>
    <mergeCell ref="B62:C62"/>
    <mergeCell ref="D12:E12"/>
    <mergeCell ref="F12:G12"/>
    <mergeCell ref="D16:E16"/>
    <mergeCell ref="F16:G16"/>
    <mergeCell ref="D28:E28"/>
    <mergeCell ref="F28:G28"/>
    <mergeCell ref="D37:G37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 Ltd&amp;C&amp;P of &amp;N&amp;R&amp;A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7"/>
  <dimension ref="A1:K63"/>
  <sheetViews>
    <sheetView view="pageLayout" workbookViewId="0">
      <selection activeCell="A5" sqref="A5:C24"/>
    </sheetView>
  </sheetViews>
  <sheetFormatPr defaultRowHeight="15"/>
  <cols>
    <col min="1" max="2" width="10.5703125" style="29" customWidth="1"/>
    <col min="3" max="3" width="10.5703125" style="14" customWidth="1"/>
    <col min="4" max="4" width="9.28515625" style="9" bestFit="1" customWidth="1"/>
    <col min="5" max="5" width="9.28515625" style="91" customWidth="1"/>
    <col min="6" max="6" width="9.28515625" style="91" bestFit="1" customWidth="1"/>
    <col min="7" max="7" width="9.28515625" style="91" customWidth="1"/>
    <col min="8" max="8" width="10.5703125" style="13" customWidth="1"/>
    <col min="9" max="9" width="5.140625" style="51" customWidth="1"/>
    <col min="10" max="10" width="10.5703125" style="4" customWidth="1"/>
    <col min="11" max="11" width="10.5703125" style="11" customWidth="1"/>
  </cols>
  <sheetData>
    <row r="1" spans="1:11">
      <c r="A1" s="110" t="s">
        <v>54</v>
      </c>
      <c r="C1" s="45"/>
      <c r="D1" s="205"/>
      <c r="E1" s="89"/>
      <c r="F1" s="89"/>
      <c r="G1" s="89"/>
      <c r="H1" s="60"/>
      <c r="I1" s="106"/>
      <c r="J1" s="106"/>
      <c r="K1" s="61"/>
    </row>
    <row r="2" spans="1:11" s="73" customFormat="1">
      <c r="A2" s="421" t="s">
        <v>0</v>
      </c>
      <c r="B2" s="421" t="s">
        <v>1</v>
      </c>
      <c r="C2" s="433"/>
      <c r="D2" s="432" t="s">
        <v>2</v>
      </c>
      <c r="E2" s="425"/>
      <c r="F2" s="425"/>
      <c r="G2" s="433"/>
      <c r="H2" s="468" t="s">
        <v>6</v>
      </c>
      <c r="I2" s="423" t="s">
        <v>7</v>
      </c>
      <c r="J2" s="430" t="s">
        <v>8</v>
      </c>
      <c r="K2" s="434" t="s">
        <v>9</v>
      </c>
    </row>
    <row r="3" spans="1:11" s="6" customFormat="1">
      <c r="A3" s="422"/>
      <c r="B3" s="422"/>
      <c r="C3" s="461"/>
      <c r="D3" s="7" t="s">
        <v>3</v>
      </c>
      <c r="E3" s="90" t="s">
        <v>4</v>
      </c>
      <c r="F3" s="90" t="s">
        <v>5</v>
      </c>
      <c r="G3" s="90" t="s">
        <v>45</v>
      </c>
      <c r="H3" s="469"/>
      <c r="I3" s="424"/>
      <c r="J3" s="431"/>
      <c r="K3" s="435"/>
    </row>
    <row r="4" spans="1:11">
      <c r="A4" s="3"/>
      <c r="B4" s="3"/>
      <c r="C4" s="28"/>
      <c r="D4" s="8"/>
      <c r="E4" s="12"/>
      <c r="F4" s="12"/>
      <c r="G4" s="12"/>
      <c r="H4" s="5"/>
      <c r="I4" s="70"/>
      <c r="J4" s="3"/>
      <c r="K4" s="10"/>
    </row>
    <row r="5" spans="1:11" ht="15" customHeight="1">
      <c r="A5" s="41">
        <v>2</v>
      </c>
      <c r="B5" s="41">
        <v>1</v>
      </c>
      <c r="C5" s="467">
        <f>A5*(B5*B6)</f>
        <v>4.2</v>
      </c>
      <c r="D5" s="408" t="s">
        <v>48</v>
      </c>
      <c r="E5" s="409"/>
      <c r="F5" s="409"/>
      <c r="G5" s="409"/>
      <c r="H5" s="5"/>
      <c r="I5" s="70"/>
      <c r="J5" s="2"/>
      <c r="K5" s="10"/>
    </row>
    <row r="6" spans="1:11">
      <c r="A6" s="41"/>
      <c r="B6" s="41">
        <v>2.1</v>
      </c>
      <c r="C6" s="467"/>
      <c r="D6" s="408"/>
      <c r="E6" s="409"/>
      <c r="F6" s="409"/>
      <c r="G6" s="409"/>
      <c r="H6" s="5"/>
      <c r="I6" s="70"/>
      <c r="J6" s="2"/>
      <c r="K6" s="10"/>
    </row>
    <row r="7" spans="1:11">
      <c r="A7" s="41">
        <v>3</v>
      </c>
      <c r="B7" s="41">
        <v>1.25</v>
      </c>
      <c r="C7" s="447">
        <f>A7*(B7*B8)</f>
        <v>5.0625</v>
      </c>
      <c r="D7" s="408"/>
      <c r="E7" s="409"/>
      <c r="F7" s="409"/>
      <c r="G7" s="409"/>
      <c r="H7" s="5"/>
      <c r="I7" s="70"/>
      <c r="J7" s="2"/>
      <c r="K7" s="10"/>
    </row>
    <row r="8" spans="1:11">
      <c r="A8" s="41"/>
      <c r="B8" s="41">
        <v>1.35</v>
      </c>
      <c r="C8" s="447"/>
      <c r="D8" s="408"/>
      <c r="E8" s="409"/>
      <c r="F8" s="409"/>
      <c r="G8" s="409"/>
      <c r="H8" s="5"/>
      <c r="I8" s="70"/>
      <c r="J8" s="2"/>
      <c r="K8" s="10"/>
    </row>
    <row r="9" spans="1:11" ht="17.25">
      <c r="A9" s="41">
        <v>1</v>
      </c>
      <c r="B9" s="41">
        <v>1.25</v>
      </c>
      <c r="C9" s="447">
        <f>A9*(B9*B10)</f>
        <v>1.3125</v>
      </c>
      <c r="D9" s="36">
        <v>0</v>
      </c>
      <c r="E9" s="31">
        <v>0</v>
      </c>
      <c r="F9" s="31">
        <v>0</v>
      </c>
      <c r="G9" s="31">
        <v>225</v>
      </c>
      <c r="H9" s="25">
        <f>$C25</f>
        <v>18.855</v>
      </c>
      <c r="I9" s="25" t="s">
        <v>13</v>
      </c>
      <c r="J9" s="41">
        <f>SUM(D9:G9)</f>
        <v>225</v>
      </c>
      <c r="K9" s="42">
        <f>SUM(H9*J9)</f>
        <v>4242.375</v>
      </c>
    </row>
    <row r="10" spans="1:11">
      <c r="A10" s="41"/>
      <c r="B10" s="41">
        <v>1.05</v>
      </c>
      <c r="C10" s="447"/>
      <c r="D10" s="8"/>
      <c r="E10" s="12"/>
      <c r="F10" s="12"/>
      <c r="G10" s="12"/>
      <c r="H10" s="5"/>
      <c r="I10" s="70"/>
      <c r="J10" s="2"/>
      <c r="K10" s="10"/>
    </row>
    <row r="11" spans="1:11">
      <c r="A11" s="41">
        <v>3</v>
      </c>
      <c r="B11" s="41">
        <v>1.25</v>
      </c>
      <c r="C11" s="447">
        <f>A11*(B11*B12)</f>
        <v>4.5</v>
      </c>
      <c r="D11" s="8"/>
      <c r="E11" s="12"/>
      <c r="F11" s="12"/>
      <c r="G11" s="12"/>
      <c r="H11" s="5"/>
      <c r="I11" s="70"/>
      <c r="J11" s="2"/>
      <c r="K11" s="10"/>
    </row>
    <row r="12" spans="1:11">
      <c r="A12" s="41"/>
      <c r="B12" s="41">
        <v>1.2</v>
      </c>
      <c r="C12" s="447"/>
      <c r="D12" s="8"/>
      <c r="E12" s="12"/>
      <c r="F12" s="12"/>
      <c r="G12" s="12"/>
      <c r="H12" s="5"/>
      <c r="I12" s="70"/>
      <c r="J12" s="2"/>
      <c r="K12" s="10"/>
    </row>
    <row r="13" spans="1:11">
      <c r="A13" s="41">
        <v>1</v>
      </c>
      <c r="B13" s="41">
        <v>1.8</v>
      </c>
      <c r="C13" s="447">
        <f>A13*(B13*B14)</f>
        <v>3.7800000000000002</v>
      </c>
      <c r="D13" s="8"/>
      <c r="E13" s="12"/>
      <c r="F13" s="12"/>
      <c r="G13" s="12"/>
      <c r="H13" s="5"/>
      <c r="I13" s="70"/>
      <c r="J13" s="2"/>
      <c r="K13" s="10"/>
    </row>
    <row r="14" spans="1:11">
      <c r="A14" s="55"/>
      <c r="B14" s="55">
        <v>2.1</v>
      </c>
      <c r="C14" s="427"/>
      <c r="D14" s="8"/>
      <c r="E14" s="12"/>
      <c r="F14" s="12"/>
      <c r="G14" s="12"/>
      <c r="H14" s="5"/>
      <c r="I14" s="70"/>
      <c r="J14" s="2"/>
      <c r="K14" s="10"/>
    </row>
    <row r="15" spans="1:11">
      <c r="A15" s="41">
        <v>2</v>
      </c>
      <c r="B15" s="41">
        <v>0.7</v>
      </c>
      <c r="C15" s="447">
        <f>A15*(B15*B16)</f>
        <v>1.47</v>
      </c>
      <c r="D15" s="8"/>
      <c r="E15" s="330"/>
      <c r="F15" s="330"/>
      <c r="G15" s="330"/>
      <c r="H15" s="5"/>
      <c r="I15" s="70"/>
      <c r="J15" s="2"/>
      <c r="K15" s="10"/>
    </row>
    <row r="16" spans="1:11">
      <c r="A16" s="55"/>
      <c r="B16" s="55">
        <v>1.05</v>
      </c>
      <c r="C16" s="427"/>
      <c r="D16" s="8"/>
      <c r="E16" s="330"/>
      <c r="F16" s="330"/>
      <c r="G16" s="330"/>
      <c r="H16" s="5"/>
      <c r="I16" s="70"/>
      <c r="J16" s="2"/>
      <c r="K16" s="10"/>
    </row>
    <row r="17" spans="1:11">
      <c r="A17" s="41">
        <v>4</v>
      </c>
      <c r="B17" s="41">
        <v>0.7</v>
      </c>
      <c r="C17" s="447">
        <f>A17*(B17*B18)</f>
        <v>3.78</v>
      </c>
      <c r="D17" s="8"/>
      <c r="E17" s="330"/>
      <c r="F17" s="330"/>
      <c r="G17" s="330"/>
      <c r="H17" s="5"/>
      <c r="I17" s="70"/>
      <c r="J17" s="2"/>
      <c r="K17" s="10"/>
    </row>
    <row r="18" spans="1:11">
      <c r="A18" s="55"/>
      <c r="B18" s="25">
        <v>1.35</v>
      </c>
      <c r="C18" s="427"/>
      <c r="D18" s="8"/>
      <c r="E18" s="330"/>
      <c r="F18" s="330"/>
      <c r="G18" s="330"/>
      <c r="H18" s="5"/>
      <c r="I18" s="70"/>
      <c r="J18" s="2"/>
      <c r="K18" s="10"/>
    </row>
    <row r="19" spans="1:11">
      <c r="A19" s="41">
        <v>2</v>
      </c>
      <c r="B19" s="41">
        <v>0.7</v>
      </c>
      <c r="C19" s="447">
        <f>A19*(B19*B20)</f>
        <v>1.68</v>
      </c>
      <c r="D19" s="8"/>
      <c r="E19" s="330"/>
      <c r="F19" s="330"/>
      <c r="G19" s="330"/>
      <c r="H19" s="5"/>
      <c r="I19" s="70"/>
      <c r="J19" s="2"/>
      <c r="K19" s="10"/>
    </row>
    <row r="20" spans="1:11" ht="15" customHeight="1">
      <c r="A20" s="55"/>
      <c r="B20" s="25">
        <v>1.2</v>
      </c>
      <c r="C20" s="427"/>
      <c r="D20" s="8"/>
      <c r="E20" s="330"/>
      <c r="F20" s="330"/>
      <c r="G20" s="330"/>
      <c r="H20" s="5"/>
      <c r="I20" s="70"/>
      <c r="J20" s="2"/>
      <c r="K20" s="10"/>
    </row>
    <row r="21" spans="1:11">
      <c r="A21" s="41">
        <v>1</v>
      </c>
      <c r="B21" s="41">
        <v>0.7</v>
      </c>
      <c r="C21" s="447">
        <f>A21*(B21*B22)</f>
        <v>0.52499999999999991</v>
      </c>
      <c r="D21" s="8"/>
      <c r="E21" s="330"/>
      <c r="F21" s="330"/>
      <c r="G21" s="330"/>
      <c r="H21" s="5"/>
      <c r="I21" s="70"/>
      <c r="J21" s="2"/>
      <c r="K21" s="10"/>
    </row>
    <row r="22" spans="1:11">
      <c r="A22" s="55"/>
      <c r="B22" s="25">
        <v>0.75</v>
      </c>
      <c r="C22" s="427"/>
      <c r="D22" s="8"/>
      <c r="E22" s="330"/>
      <c r="F22" s="330"/>
      <c r="G22" s="330"/>
      <c r="H22" s="5"/>
      <c r="I22" s="70"/>
      <c r="J22" s="2"/>
      <c r="K22" s="10"/>
    </row>
    <row r="23" spans="1:11">
      <c r="A23" s="41">
        <v>1</v>
      </c>
      <c r="B23" s="41">
        <v>2.9</v>
      </c>
      <c r="C23" s="447">
        <f>A23*(B23*B24)</f>
        <v>6.09</v>
      </c>
      <c r="D23" s="8"/>
      <c r="E23" s="330"/>
      <c r="F23" s="330"/>
      <c r="G23" s="330"/>
      <c r="H23" s="5"/>
      <c r="I23" s="70"/>
      <c r="J23" s="2"/>
      <c r="K23" s="10"/>
    </row>
    <row r="24" spans="1:11" ht="15.75" thickBot="1">
      <c r="A24" s="55"/>
      <c r="B24" s="25">
        <v>2.1</v>
      </c>
      <c r="C24" s="427"/>
      <c r="D24" s="8"/>
      <c r="E24" s="330"/>
      <c r="F24" s="330"/>
      <c r="G24" s="330"/>
      <c r="H24" s="5"/>
      <c r="I24" s="70"/>
      <c r="J24" s="2"/>
      <c r="K24" s="10"/>
    </row>
    <row r="25" spans="1:11" ht="15.75" thickBot="1">
      <c r="A25" s="5"/>
      <c r="B25" s="3"/>
      <c r="C25" s="290">
        <f>SUM(C5:C14)</f>
        <v>18.855</v>
      </c>
      <c r="D25" s="8"/>
      <c r="E25" s="12"/>
      <c r="F25" s="12"/>
      <c r="G25" s="12"/>
      <c r="H25" s="5"/>
      <c r="I25" s="70"/>
      <c r="J25" s="2"/>
      <c r="K25" s="10"/>
    </row>
    <row r="26" spans="1:11">
      <c r="A26" s="3"/>
      <c r="B26" s="3"/>
      <c r="C26" s="327"/>
      <c r="D26" s="8"/>
      <c r="E26" s="12"/>
      <c r="F26" s="12"/>
      <c r="G26" s="12"/>
      <c r="H26" s="5"/>
      <c r="I26" s="70"/>
      <c r="J26" s="2"/>
      <c r="K26" s="10"/>
    </row>
    <row r="27" spans="1:11">
      <c r="A27" s="3"/>
      <c r="B27" s="3"/>
      <c r="C27" s="327"/>
      <c r="D27" s="8"/>
      <c r="E27" s="330"/>
      <c r="F27" s="330"/>
      <c r="G27" s="330"/>
      <c r="H27" s="5"/>
      <c r="I27" s="70"/>
      <c r="J27" s="2"/>
      <c r="K27" s="10"/>
    </row>
    <row r="28" spans="1:11" ht="15" customHeight="1">
      <c r="A28" s="3"/>
      <c r="B28" s="3"/>
      <c r="C28" s="327"/>
      <c r="D28" s="8"/>
      <c r="E28" s="330"/>
      <c r="F28" s="330"/>
      <c r="G28" s="330"/>
      <c r="H28" s="5"/>
      <c r="I28" s="70"/>
      <c r="J28" s="2"/>
      <c r="K28" s="10"/>
    </row>
    <row r="29" spans="1:11">
      <c r="A29" s="3"/>
      <c r="B29" s="3"/>
      <c r="C29" s="327"/>
      <c r="D29" s="8"/>
      <c r="E29" s="330"/>
      <c r="F29" s="330"/>
      <c r="G29" s="330"/>
      <c r="H29" s="5"/>
      <c r="I29" s="70"/>
      <c r="J29" s="2"/>
      <c r="K29" s="10"/>
    </row>
    <row r="30" spans="1:11">
      <c r="A30" s="3"/>
      <c r="B30" s="3"/>
      <c r="C30" s="327"/>
      <c r="D30" s="8"/>
      <c r="E30" s="330"/>
      <c r="F30" s="330"/>
      <c r="G30" s="330"/>
      <c r="H30" s="5"/>
      <c r="I30" s="70"/>
      <c r="J30" s="2"/>
      <c r="K30" s="10"/>
    </row>
    <row r="31" spans="1:11">
      <c r="A31" s="3"/>
      <c r="B31" s="3"/>
      <c r="C31" s="327"/>
      <c r="D31" s="8"/>
      <c r="E31" s="330"/>
      <c r="F31" s="330"/>
      <c r="G31" s="330"/>
      <c r="H31" s="5"/>
      <c r="I31" s="70"/>
      <c r="J31" s="2"/>
      <c r="K31" s="10"/>
    </row>
    <row r="32" spans="1:11">
      <c r="A32" s="3"/>
      <c r="B32" s="3"/>
      <c r="C32" s="327"/>
      <c r="D32" s="8"/>
      <c r="E32" s="330"/>
      <c r="F32" s="330"/>
      <c r="G32" s="330"/>
      <c r="H32" s="5"/>
      <c r="I32" s="70"/>
      <c r="J32" s="2"/>
      <c r="K32" s="10"/>
    </row>
    <row r="33" spans="1:11">
      <c r="A33" s="3"/>
      <c r="B33" s="3"/>
      <c r="C33" s="327"/>
      <c r="D33" s="8"/>
      <c r="E33" s="330"/>
      <c r="F33" s="330"/>
      <c r="G33" s="330"/>
      <c r="H33" s="5"/>
      <c r="I33" s="70"/>
      <c r="J33" s="2"/>
      <c r="K33" s="10"/>
    </row>
    <row r="34" spans="1:11">
      <c r="A34" s="3"/>
      <c r="B34" s="3"/>
      <c r="C34" s="327"/>
      <c r="D34" s="8"/>
      <c r="E34" s="330"/>
      <c r="F34" s="330"/>
      <c r="G34" s="330"/>
      <c r="H34" s="5"/>
      <c r="I34" s="70"/>
      <c r="J34" s="2"/>
      <c r="K34" s="10"/>
    </row>
    <row r="35" spans="1:11">
      <c r="A35" s="3"/>
      <c r="B35" s="3"/>
      <c r="C35" s="327"/>
      <c r="D35" s="8"/>
      <c r="E35" s="330"/>
      <c r="F35" s="330"/>
      <c r="G35" s="330"/>
      <c r="H35" s="5"/>
      <c r="I35" s="70"/>
      <c r="J35" s="2"/>
      <c r="K35" s="10"/>
    </row>
    <row r="36" spans="1:11">
      <c r="A36" s="3"/>
      <c r="B36" s="3"/>
      <c r="C36" s="327"/>
      <c r="D36" s="8"/>
      <c r="E36" s="330"/>
      <c r="F36" s="330"/>
      <c r="G36" s="330"/>
      <c r="H36" s="5"/>
      <c r="I36" s="70"/>
      <c r="J36" s="2"/>
      <c r="K36" s="10"/>
    </row>
    <row r="37" spans="1:11">
      <c r="A37" s="3"/>
      <c r="B37" s="3"/>
      <c r="C37" s="327"/>
      <c r="D37" s="8"/>
      <c r="E37" s="330"/>
      <c r="F37" s="330"/>
      <c r="G37" s="330"/>
      <c r="H37" s="5"/>
      <c r="I37" s="70"/>
      <c r="J37" s="2"/>
      <c r="K37" s="10"/>
    </row>
    <row r="38" spans="1:11">
      <c r="A38" s="3"/>
      <c r="B38" s="3"/>
      <c r="C38" s="327"/>
      <c r="D38" s="8"/>
      <c r="E38" s="330"/>
      <c r="F38" s="330"/>
      <c r="G38" s="330"/>
      <c r="H38" s="5"/>
      <c r="I38" s="70"/>
      <c r="J38" s="2"/>
      <c r="K38" s="10"/>
    </row>
    <row r="39" spans="1:11">
      <c r="A39" s="3"/>
      <c r="B39" s="3"/>
      <c r="C39" s="327"/>
      <c r="D39" s="8"/>
      <c r="E39" s="330"/>
      <c r="F39" s="330"/>
      <c r="G39" s="330"/>
      <c r="H39" s="5"/>
      <c r="I39" s="70"/>
      <c r="J39" s="2"/>
      <c r="K39" s="10"/>
    </row>
    <row r="40" spans="1:11">
      <c r="A40" s="3"/>
      <c r="B40" s="3"/>
      <c r="C40" s="327"/>
      <c r="D40" s="8"/>
      <c r="E40" s="330"/>
      <c r="F40" s="330"/>
      <c r="G40" s="330"/>
      <c r="H40" s="5"/>
      <c r="I40" s="70"/>
      <c r="J40" s="2"/>
      <c r="K40" s="10"/>
    </row>
    <row r="41" spans="1:11" ht="15" customHeight="1">
      <c r="A41" s="3"/>
      <c r="B41" s="3"/>
      <c r="C41" s="327"/>
      <c r="D41" s="8"/>
      <c r="E41" s="330"/>
      <c r="F41" s="330"/>
      <c r="G41" s="330"/>
      <c r="H41" s="5"/>
      <c r="I41" s="70"/>
      <c r="J41" s="2"/>
      <c r="K41" s="10"/>
    </row>
    <row r="42" spans="1:11">
      <c r="A42" s="3"/>
      <c r="B42" s="3"/>
      <c r="C42" s="327"/>
      <c r="D42" s="8"/>
      <c r="E42" s="330"/>
      <c r="F42" s="330"/>
      <c r="G42" s="330"/>
      <c r="H42" s="5"/>
      <c r="I42" s="70"/>
      <c r="J42" s="2"/>
      <c r="K42" s="10"/>
    </row>
    <row r="43" spans="1:11">
      <c r="A43" s="3"/>
      <c r="B43" s="3"/>
      <c r="C43" s="327"/>
      <c r="D43" s="8"/>
      <c r="E43" s="330"/>
      <c r="F43" s="330"/>
      <c r="G43" s="330"/>
      <c r="H43" s="5"/>
      <c r="I43" s="70"/>
      <c r="J43" s="2"/>
      <c r="K43" s="10"/>
    </row>
    <row r="44" spans="1:11">
      <c r="A44" s="3"/>
      <c r="B44" s="3"/>
      <c r="C44" s="327"/>
      <c r="D44" s="8"/>
      <c r="E44" s="330"/>
      <c r="F44" s="330"/>
      <c r="G44" s="330"/>
      <c r="H44" s="5"/>
      <c r="I44" s="70"/>
      <c r="J44" s="2"/>
      <c r="K44" s="10"/>
    </row>
    <row r="45" spans="1:11">
      <c r="A45" s="3"/>
      <c r="B45" s="3"/>
      <c r="C45" s="327"/>
      <c r="D45" s="8"/>
      <c r="E45" s="330"/>
      <c r="F45" s="330"/>
      <c r="G45" s="330"/>
      <c r="H45" s="5"/>
      <c r="I45" s="70"/>
      <c r="J45" s="2"/>
      <c r="K45" s="10"/>
    </row>
    <row r="46" spans="1:11">
      <c r="A46" s="3"/>
      <c r="B46" s="3"/>
      <c r="C46" s="327"/>
      <c r="D46" s="8"/>
      <c r="E46" s="330"/>
      <c r="F46" s="330"/>
      <c r="G46" s="330"/>
      <c r="H46" s="5"/>
      <c r="I46" s="70"/>
      <c r="J46" s="2"/>
      <c r="K46" s="10"/>
    </row>
    <row r="47" spans="1:11">
      <c r="A47" s="3"/>
      <c r="B47" s="3"/>
      <c r="C47" s="327"/>
      <c r="D47" s="8"/>
      <c r="E47" s="330"/>
      <c r="F47" s="330"/>
      <c r="G47" s="330"/>
      <c r="H47" s="5"/>
      <c r="I47" s="70"/>
      <c r="J47" s="2"/>
      <c r="K47" s="10"/>
    </row>
    <row r="48" spans="1:11" ht="15" customHeight="1">
      <c r="A48" s="3"/>
      <c r="B48" s="3"/>
      <c r="C48" s="327"/>
      <c r="D48" s="8"/>
      <c r="E48" s="330"/>
      <c r="F48" s="330"/>
      <c r="G48" s="330"/>
      <c r="H48" s="5"/>
      <c r="I48" s="70"/>
      <c r="J48" s="2"/>
      <c r="K48" s="10"/>
    </row>
    <row r="49" spans="1:11" ht="15" customHeight="1">
      <c r="A49" s="3"/>
      <c r="B49" s="3"/>
      <c r="C49" s="327"/>
      <c r="D49" s="8"/>
      <c r="E49" s="330"/>
      <c r="F49" s="330"/>
      <c r="G49" s="330"/>
      <c r="H49" s="5"/>
      <c r="I49" s="70"/>
      <c r="J49" s="2"/>
      <c r="K49" s="10"/>
    </row>
    <row r="50" spans="1:11">
      <c r="A50" s="3"/>
      <c r="B50" s="3"/>
      <c r="C50" s="327"/>
      <c r="D50" s="8"/>
      <c r="E50" s="330"/>
      <c r="F50" s="330"/>
      <c r="G50" s="330"/>
      <c r="H50" s="5"/>
      <c r="I50" s="70"/>
      <c r="J50" s="2"/>
      <c r="K50" s="10"/>
    </row>
    <row r="51" spans="1:11">
      <c r="A51" s="3"/>
      <c r="B51" s="3"/>
      <c r="C51" s="327"/>
      <c r="D51" s="8"/>
      <c r="E51" s="330"/>
      <c r="F51" s="330"/>
      <c r="G51" s="330"/>
      <c r="H51" s="5"/>
      <c r="I51" s="70"/>
      <c r="J51" s="2"/>
      <c r="K51" s="10"/>
    </row>
    <row r="52" spans="1:11">
      <c r="A52" s="3"/>
      <c r="B52" s="3"/>
      <c r="C52" s="327"/>
      <c r="D52" s="8"/>
      <c r="E52" s="330"/>
      <c r="F52" s="330"/>
      <c r="G52" s="330"/>
      <c r="H52" s="5"/>
      <c r="I52" s="70"/>
      <c r="J52" s="2"/>
      <c r="K52" s="10"/>
    </row>
    <row r="53" spans="1:11">
      <c r="A53" s="3"/>
      <c r="B53" s="3"/>
      <c r="C53" s="327"/>
      <c r="D53" s="8"/>
      <c r="E53" s="330"/>
      <c r="F53" s="330"/>
      <c r="G53" s="330"/>
      <c r="H53" s="5"/>
      <c r="I53" s="70"/>
      <c r="J53" s="2"/>
      <c r="K53" s="10"/>
    </row>
    <row r="54" spans="1:11" ht="15" customHeight="1">
      <c r="A54" s="3"/>
      <c r="B54" s="3"/>
      <c r="C54" s="327"/>
      <c r="D54" s="8"/>
      <c r="E54" s="330"/>
      <c r="F54" s="330"/>
      <c r="G54" s="330"/>
      <c r="H54" s="5"/>
      <c r="I54" s="70"/>
      <c r="J54" s="2"/>
      <c r="K54" s="10"/>
    </row>
    <row r="55" spans="1:11">
      <c r="A55" s="3"/>
      <c r="B55" s="3"/>
      <c r="C55" s="327"/>
      <c r="D55" s="8"/>
      <c r="E55" s="330"/>
      <c r="F55" s="330"/>
      <c r="G55" s="330"/>
      <c r="H55" s="5"/>
      <c r="I55" s="70"/>
      <c r="J55" s="2"/>
      <c r="K55" s="10"/>
    </row>
    <row r="56" spans="1:11" ht="15" customHeight="1">
      <c r="A56" s="3"/>
      <c r="B56" s="3"/>
      <c r="C56" s="28"/>
    </row>
    <row r="57" spans="1:11">
      <c r="C57" s="75"/>
      <c r="E57" s="223"/>
      <c r="F57" s="223"/>
      <c r="G57" s="223"/>
      <c r="H57" s="4"/>
      <c r="I57" s="4"/>
    </row>
    <row r="61" spans="1:11" ht="15.75" thickBot="1"/>
    <row r="62" spans="1:11" ht="17.25" thickTop="1" thickBot="1">
      <c r="B62" s="405" t="s">
        <v>47</v>
      </c>
      <c r="C62" s="406"/>
      <c r="D62" s="72">
        <f>SUMPRODUCT(D1:D61,$H1:$H61)</f>
        <v>0</v>
      </c>
      <c r="E62" s="72">
        <f>SUMPRODUCT(E1:E61,$H1:$H61)</f>
        <v>0</v>
      </c>
      <c r="F62" s="72">
        <f>SUMPRODUCT(F1:F61,$H1:$H61)</f>
        <v>0</v>
      </c>
      <c r="G62" s="72">
        <f>SUMPRODUCT(G1:G61,$H1:$H61)</f>
        <v>4242.375</v>
      </c>
      <c r="H62" s="57">
        <f>SUM(D62:G62)</f>
        <v>4242.375</v>
      </c>
      <c r="I62" s="54"/>
      <c r="J62" s="199"/>
      <c r="K62" s="56">
        <f>SUM(K6:K61)</f>
        <v>4242.375</v>
      </c>
    </row>
    <row r="63" spans="1:11">
      <c r="B63" s="13"/>
      <c r="C63" s="69"/>
      <c r="K63" s="58" t="str">
        <f>IF((H62+J62)=K62,"Correct")</f>
        <v>Correct</v>
      </c>
    </row>
  </sheetData>
  <sheetProtection sheet="1" objects="1" scenarios="1" selectLockedCells="1" selectUnlockedCells="1"/>
  <mergeCells count="19">
    <mergeCell ref="K2:K3"/>
    <mergeCell ref="B2:C3"/>
    <mergeCell ref="A2:A3"/>
    <mergeCell ref="H2:H3"/>
    <mergeCell ref="I2:I3"/>
    <mergeCell ref="J2:J3"/>
    <mergeCell ref="D2:G2"/>
    <mergeCell ref="C23:C24"/>
    <mergeCell ref="B62:C62"/>
    <mergeCell ref="D5:G8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 Ltd&amp;C&amp;P of &amp;N&amp;R&amp;A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8"/>
  <dimension ref="A1:K62"/>
  <sheetViews>
    <sheetView view="pageLayout" workbookViewId="0">
      <selection activeCell="A58" sqref="A58:XFD58"/>
    </sheetView>
  </sheetViews>
  <sheetFormatPr defaultRowHeight="15"/>
  <cols>
    <col min="1" max="2" width="10.5703125" style="29" customWidth="1"/>
    <col min="3" max="3" width="10.5703125" style="75" customWidth="1"/>
    <col min="4" max="4" width="9.28515625" style="9" bestFit="1" customWidth="1"/>
    <col min="5" max="5" width="9.28515625" style="16" customWidth="1"/>
    <col min="6" max="6" width="9.28515625" style="16" bestFit="1" customWidth="1"/>
    <col min="7" max="7" width="9.28515625" style="16" customWidth="1"/>
    <col min="8" max="8" width="10.5703125" style="4" customWidth="1"/>
    <col min="9" max="9" width="5.140625" style="4" customWidth="1"/>
    <col min="10" max="10" width="10.5703125" style="4" customWidth="1"/>
    <col min="11" max="11" width="10.5703125" style="11" customWidth="1"/>
  </cols>
  <sheetData>
    <row r="1" spans="1:11">
      <c r="A1" s="111" t="s">
        <v>55</v>
      </c>
      <c r="B1" s="46"/>
      <c r="C1" s="45"/>
      <c r="D1" s="83"/>
      <c r="E1" s="83"/>
      <c r="F1" s="83"/>
      <c r="G1" s="83"/>
      <c r="H1" s="106"/>
      <c r="I1" s="106"/>
      <c r="J1" s="106"/>
      <c r="K1" s="61"/>
    </row>
    <row r="2" spans="1:11" s="1" customFormat="1">
      <c r="A2" s="421" t="s">
        <v>0</v>
      </c>
      <c r="B2" s="421" t="s">
        <v>1</v>
      </c>
      <c r="C2" s="433"/>
      <c r="D2" s="432" t="s">
        <v>2</v>
      </c>
      <c r="E2" s="425"/>
      <c r="F2" s="425"/>
      <c r="G2" s="433"/>
      <c r="H2" s="430" t="s">
        <v>6</v>
      </c>
      <c r="I2" s="430" t="s">
        <v>7</v>
      </c>
      <c r="J2" s="430" t="s">
        <v>8</v>
      </c>
      <c r="K2" s="434" t="s">
        <v>9</v>
      </c>
    </row>
    <row r="3" spans="1:11" s="6" customFormat="1">
      <c r="A3" s="422"/>
      <c r="B3" s="422"/>
      <c r="C3" s="461"/>
      <c r="D3" s="7" t="s">
        <v>3</v>
      </c>
      <c r="E3" s="40" t="s">
        <v>4</v>
      </c>
      <c r="F3" s="40" t="s">
        <v>5</v>
      </c>
      <c r="G3" s="40" t="s">
        <v>45</v>
      </c>
      <c r="H3" s="431"/>
      <c r="I3" s="431"/>
      <c r="J3" s="431"/>
      <c r="K3" s="435"/>
    </row>
    <row r="4" spans="1:11">
      <c r="A4" s="3"/>
      <c r="B4" s="3"/>
      <c r="C4" s="74"/>
      <c r="D4" s="8"/>
      <c r="E4" s="12"/>
      <c r="F4" s="12"/>
      <c r="G4" s="12"/>
      <c r="H4" s="3"/>
      <c r="I4" s="2"/>
      <c r="J4" s="3"/>
      <c r="K4" s="10"/>
    </row>
    <row r="5" spans="1:11" ht="15" customHeight="1">
      <c r="A5" s="27">
        <v>14</v>
      </c>
      <c r="B5" s="27">
        <v>4.5</v>
      </c>
      <c r="C5" s="26">
        <f>A5*B5</f>
        <v>63</v>
      </c>
      <c r="D5" s="439" t="s">
        <v>731</v>
      </c>
      <c r="E5" s="440"/>
      <c r="F5" s="440"/>
      <c r="G5" s="441"/>
      <c r="H5" s="2"/>
      <c r="I5" s="2"/>
      <c r="J5" s="2"/>
      <c r="K5" s="10"/>
    </row>
    <row r="6" spans="1:11" ht="15.75" thickBot="1">
      <c r="A6" s="25">
        <v>22</v>
      </c>
      <c r="B6" s="25">
        <v>5.45</v>
      </c>
      <c r="C6" s="44">
        <f>A6*B6</f>
        <v>119.9</v>
      </c>
      <c r="D6" s="295" t="s">
        <v>728</v>
      </c>
      <c r="E6" s="444" t="str">
        <f>'Material Analysis'!C18</f>
        <v>SwUntreated</v>
      </c>
      <c r="F6" s="445"/>
      <c r="G6" s="446"/>
      <c r="H6" s="2"/>
      <c r="I6" s="2"/>
      <c r="J6" s="2"/>
      <c r="K6" s="10"/>
    </row>
    <row r="7" spans="1:11" ht="15.75" thickBot="1">
      <c r="A7" s="180"/>
      <c r="B7" s="179"/>
      <c r="C7" s="121">
        <f ca="1">SUM(C5:(OFFSET(C7,-1,0)))</f>
        <v>182.9</v>
      </c>
      <c r="D7" s="293" t="s">
        <v>686</v>
      </c>
      <c r="E7" s="444" t="str">
        <f>'Material Analysis'!D18</f>
        <v>50 x 200mm</v>
      </c>
      <c r="F7" s="445"/>
      <c r="G7" s="446"/>
      <c r="H7" s="2"/>
      <c r="I7" s="2"/>
      <c r="J7" s="2"/>
      <c r="K7" s="10"/>
    </row>
    <row r="8" spans="1:11">
      <c r="A8" s="3"/>
      <c r="B8" s="3"/>
      <c r="C8" s="74"/>
      <c r="D8" s="36">
        <f>'Labour Analysis'!$E$73*0.1</f>
        <v>3.5</v>
      </c>
      <c r="E8" s="31">
        <v>0</v>
      </c>
      <c r="F8" s="31">
        <f>'Material Analysis'!I18</f>
        <v>7.5</v>
      </c>
      <c r="G8" s="31">
        <v>0</v>
      </c>
      <c r="H8" s="25">
        <f ca="1">$C7</f>
        <v>182.9</v>
      </c>
      <c r="I8" s="30" t="s">
        <v>39</v>
      </c>
      <c r="J8" s="41">
        <f>SUM(D8:G8)</f>
        <v>11</v>
      </c>
      <c r="K8" s="42">
        <f ca="1">SUM(H8*J8)</f>
        <v>2011.9</v>
      </c>
    </row>
    <row r="9" spans="1:11">
      <c r="A9" s="3"/>
      <c r="B9" s="3"/>
      <c r="C9" s="299"/>
      <c r="D9" s="8"/>
      <c r="E9" s="12"/>
      <c r="F9" s="12"/>
      <c r="G9" s="12"/>
      <c r="H9" s="2"/>
      <c r="I9" s="2"/>
      <c r="J9" s="2"/>
      <c r="K9" s="10"/>
    </row>
    <row r="10" spans="1:11">
      <c r="A10" s="3"/>
      <c r="B10" s="3"/>
      <c r="C10" s="74"/>
      <c r="D10" s="8"/>
      <c r="E10" s="12"/>
      <c r="F10" s="12"/>
      <c r="G10" s="12"/>
      <c r="H10" s="2"/>
      <c r="I10" s="2"/>
      <c r="J10" s="2"/>
      <c r="K10" s="10"/>
    </row>
    <row r="11" spans="1:11">
      <c r="A11" s="27">
        <v>4</v>
      </c>
      <c r="B11" s="27">
        <v>4.7</v>
      </c>
      <c r="C11" s="345">
        <f>A11*B11</f>
        <v>18.8</v>
      </c>
      <c r="D11" s="439" t="s">
        <v>942</v>
      </c>
      <c r="E11" s="440"/>
      <c r="F11" s="440"/>
      <c r="G11" s="441"/>
      <c r="H11" s="2"/>
      <c r="I11" s="2"/>
      <c r="J11" s="2"/>
      <c r="K11" s="10"/>
    </row>
    <row r="12" spans="1:11">
      <c r="A12" s="25">
        <v>5</v>
      </c>
      <c r="B12" s="25">
        <v>3.3</v>
      </c>
      <c r="C12" s="344">
        <f>A12*B12</f>
        <v>16.5</v>
      </c>
      <c r="D12" s="295" t="s">
        <v>728</v>
      </c>
      <c r="E12" s="444" t="str">
        <f>'Material Analysis'!C24</f>
        <v>SwUntreated</v>
      </c>
      <c r="F12" s="445"/>
      <c r="G12" s="446"/>
      <c r="H12" s="2"/>
      <c r="I12" s="2"/>
      <c r="J12" s="2"/>
      <c r="K12" s="10"/>
    </row>
    <row r="13" spans="1:11">
      <c r="A13" s="25">
        <v>5</v>
      </c>
      <c r="B13" s="25">
        <v>3.1</v>
      </c>
      <c r="C13" s="344">
        <f>A13*B13</f>
        <v>15.5</v>
      </c>
      <c r="D13" s="293" t="s">
        <v>686</v>
      </c>
      <c r="E13" s="444" t="str">
        <f>'Material Analysis'!D24</f>
        <v>50 x 200mm</v>
      </c>
      <c r="F13" s="445"/>
      <c r="G13" s="446"/>
      <c r="H13" s="2"/>
      <c r="I13" s="2"/>
      <c r="J13" s="2"/>
      <c r="K13" s="10"/>
    </row>
    <row r="14" spans="1:11" ht="15.75" thickBot="1">
      <c r="A14" s="25">
        <v>8</v>
      </c>
      <c r="B14" s="25">
        <v>2.2000000000000002</v>
      </c>
      <c r="C14" s="344">
        <f>A14*B14</f>
        <v>17.600000000000001</v>
      </c>
      <c r="D14" s="36">
        <f>'Labour Analysis'!$E$73*0.1</f>
        <v>3.5</v>
      </c>
      <c r="E14" s="31">
        <v>0</v>
      </c>
      <c r="F14" s="31">
        <f>'Material Analysis'!I18</f>
        <v>7.5</v>
      </c>
      <c r="G14" s="31">
        <v>0</v>
      </c>
      <c r="H14" s="25">
        <f ca="1">$C15</f>
        <v>68.400000000000006</v>
      </c>
      <c r="I14" s="30" t="s">
        <v>39</v>
      </c>
      <c r="J14" s="41">
        <f>SUM(D14:G14)</f>
        <v>11</v>
      </c>
      <c r="K14" s="42">
        <f ca="1">SUM(H14*J14)</f>
        <v>752.40000000000009</v>
      </c>
    </row>
    <row r="15" spans="1:11" ht="15.75" thickBot="1">
      <c r="A15" s="180"/>
      <c r="B15" s="179"/>
      <c r="C15" s="121">
        <f ca="1">SUM(C11:(OFFSET(C15,-1,0)))</f>
        <v>68.400000000000006</v>
      </c>
      <c r="D15" s="8"/>
      <c r="E15" s="348"/>
      <c r="F15" s="348"/>
      <c r="G15" s="348"/>
      <c r="H15" s="2"/>
      <c r="I15" s="2"/>
      <c r="J15" s="2"/>
      <c r="K15" s="10"/>
    </row>
    <row r="16" spans="1:11">
      <c r="A16" s="3"/>
      <c r="B16" s="3"/>
      <c r="C16" s="347"/>
      <c r="D16" s="8"/>
      <c r="E16" s="348"/>
      <c r="F16" s="348"/>
      <c r="G16" s="348"/>
      <c r="H16" s="2"/>
      <c r="I16" s="2"/>
      <c r="J16" s="2"/>
      <c r="K16" s="10"/>
    </row>
    <row r="17" spans="1:11">
      <c r="A17" s="3"/>
      <c r="B17" s="3"/>
      <c r="C17" s="347"/>
      <c r="D17" s="8"/>
      <c r="E17" s="348"/>
      <c r="F17" s="348"/>
      <c r="G17" s="348"/>
      <c r="H17" s="2"/>
      <c r="I17" s="2"/>
      <c r="J17" s="2"/>
      <c r="K17" s="10"/>
    </row>
    <row r="18" spans="1:11">
      <c r="A18" s="27">
        <v>2</v>
      </c>
      <c r="B18" s="27">
        <v>4.9000000000000004</v>
      </c>
      <c r="C18" s="26">
        <f>A18*B18</f>
        <v>9.8000000000000007</v>
      </c>
      <c r="D18" s="408" t="s">
        <v>49</v>
      </c>
      <c r="E18" s="409"/>
      <c r="F18" s="409"/>
      <c r="G18" s="409"/>
      <c r="H18" s="2"/>
      <c r="I18" s="2"/>
      <c r="J18" s="2"/>
      <c r="K18" s="10"/>
    </row>
    <row r="19" spans="1:11" ht="15.75" thickBot="1">
      <c r="A19" s="25">
        <v>2</v>
      </c>
      <c r="B19" s="25">
        <v>8.25</v>
      </c>
      <c r="C19" s="44">
        <f>A19*B19</f>
        <v>16.5</v>
      </c>
      <c r="D19" s="408"/>
      <c r="E19" s="409"/>
      <c r="F19" s="409"/>
      <c r="G19" s="409"/>
      <c r="H19" s="2"/>
      <c r="I19" s="2"/>
      <c r="J19" s="2"/>
      <c r="K19" s="10"/>
    </row>
    <row r="20" spans="1:11" ht="15" customHeight="1" thickBot="1">
      <c r="A20" s="180"/>
      <c r="B20" s="179"/>
      <c r="C20" s="121">
        <f ca="1">SUM(C18:(OFFSET(C20,-1,0)))</f>
        <v>26.3</v>
      </c>
      <c r="D20" s="36">
        <f>'Labour Analysis'!$E$73*0.1285</f>
        <v>4.4975000000000005</v>
      </c>
      <c r="E20" s="31">
        <v>0</v>
      </c>
      <c r="F20" s="31">
        <f>F8+1</f>
        <v>8.5</v>
      </c>
      <c r="G20" s="31">
        <v>0</v>
      </c>
      <c r="H20" s="25">
        <f ca="1">$C20</f>
        <v>26.3</v>
      </c>
      <c r="I20" s="30" t="s">
        <v>39</v>
      </c>
      <c r="J20" s="41">
        <f>SUM(D20:G20)</f>
        <v>12.9975</v>
      </c>
      <c r="K20" s="42">
        <f ca="1">SUM(H20*J20)</f>
        <v>341.83425</v>
      </c>
    </row>
    <row r="21" spans="1:11">
      <c r="A21" s="3"/>
      <c r="B21" s="3"/>
      <c r="C21" s="74"/>
      <c r="D21" s="8"/>
      <c r="E21" s="12"/>
      <c r="F21" s="12"/>
      <c r="G21" s="12"/>
      <c r="H21" s="2"/>
      <c r="I21" s="2"/>
      <c r="J21" s="2"/>
      <c r="K21" s="10"/>
    </row>
    <row r="22" spans="1:11">
      <c r="A22" s="3"/>
      <c r="B22" s="3"/>
      <c r="C22" s="74"/>
      <c r="D22" s="8"/>
      <c r="E22" s="12"/>
      <c r="F22" s="12"/>
      <c r="G22" s="12"/>
      <c r="H22" s="2"/>
      <c r="I22" s="2"/>
      <c r="J22" s="2"/>
      <c r="K22" s="10"/>
    </row>
    <row r="23" spans="1:11" ht="15.75" thickBot="1">
      <c r="A23" s="3"/>
      <c r="B23" s="3"/>
      <c r="C23" s="28"/>
      <c r="D23" s="408" t="s">
        <v>50</v>
      </c>
      <c r="E23" s="409"/>
      <c r="F23" s="409"/>
      <c r="G23" s="409"/>
      <c r="H23" s="2"/>
      <c r="I23" s="2"/>
      <c r="J23" s="2"/>
      <c r="K23" s="10"/>
    </row>
    <row r="24" spans="1:11" ht="15.75" thickBot="1">
      <c r="A24" s="25">
        <v>72</v>
      </c>
      <c r="B24" s="41">
        <v>1</v>
      </c>
      <c r="C24" s="64">
        <f>A24*B24</f>
        <v>72</v>
      </c>
      <c r="D24" s="36">
        <f>'Labour Analysis'!$E$73*0.0644</f>
        <v>2.254</v>
      </c>
      <c r="E24" s="34">
        <v>0</v>
      </c>
      <c r="F24" s="34">
        <f>'Material Analysis'!I58</f>
        <v>2.25</v>
      </c>
      <c r="G24" s="34">
        <v>0</v>
      </c>
      <c r="H24" s="27">
        <f>$C24</f>
        <v>72</v>
      </c>
      <c r="I24" s="50" t="s">
        <v>44</v>
      </c>
      <c r="J24" s="59">
        <f>SUM(D24:G24)</f>
        <v>4.5039999999999996</v>
      </c>
      <c r="K24" s="49">
        <f>J24*H24</f>
        <v>324.28799999999995</v>
      </c>
    </row>
    <row r="25" spans="1:11" ht="15" customHeight="1">
      <c r="A25" s="3"/>
      <c r="B25" s="3"/>
      <c r="C25" s="74"/>
    </row>
    <row r="26" spans="1:11">
      <c r="A26" s="3"/>
      <c r="B26" s="3"/>
      <c r="C26" s="74"/>
      <c r="D26" s="67"/>
      <c r="E26"/>
      <c r="F26"/>
      <c r="G26"/>
      <c r="K26" s="71"/>
    </row>
    <row r="27" spans="1:11">
      <c r="C27" s="14"/>
      <c r="D27" s="408" t="s">
        <v>51</v>
      </c>
      <c r="E27" s="409"/>
      <c r="F27" s="409"/>
      <c r="G27" s="409"/>
    </row>
    <row r="28" spans="1:11" ht="15.75" thickBot="1">
      <c r="C28" s="14"/>
      <c r="D28" s="408"/>
      <c r="E28" s="409"/>
      <c r="F28" s="409"/>
      <c r="G28" s="409"/>
      <c r="K28" s="71"/>
    </row>
    <row r="29" spans="1:11" ht="15.75" thickBot="1">
      <c r="A29" s="25">
        <v>8</v>
      </c>
      <c r="B29" s="41">
        <v>1</v>
      </c>
      <c r="C29" s="64">
        <f>A29*B29</f>
        <v>8</v>
      </c>
      <c r="D29" s="36">
        <f>'Labour Analysis'!$E$73*0.1</f>
        <v>3.5</v>
      </c>
      <c r="E29" s="34">
        <v>0</v>
      </c>
      <c r="F29" s="34">
        <f>'Material Analysis'!I61</f>
        <v>3.5</v>
      </c>
      <c r="G29" s="34">
        <v>0</v>
      </c>
      <c r="H29" s="27">
        <f>$C29</f>
        <v>8</v>
      </c>
      <c r="I29" s="50" t="s">
        <v>44</v>
      </c>
      <c r="J29" s="59">
        <f>SUM(D29:G29)</f>
        <v>7</v>
      </c>
      <c r="K29" s="49">
        <f>J29*H29</f>
        <v>56</v>
      </c>
    </row>
    <row r="30" spans="1:11" ht="15" customHeight="1"/>
    <row r="32" spans="1:11">
      <c r="A32" s="27">
        <v>1</v>
      </c>
      <c r="B32" s="27">
        <v>4.9000000000000004</v>
      </c>
      <c r="C32" s="26">
        <f>A32*B32</f>
        <v>4.9000000000000004</v>
      </c>
      <c r="D32" s="408" t="s">
        <v>52</v>
      </c>
      <c r="E32" s="409"/>
      <c r="F32" s="409"/>
      <c r="G32" s="409"/>
    </row>
    <row r="33" spans="1:11" ht="15.75" thickBot="1">
      <c r="A33" s="25">
        <v>1</v>
      </c>
      <c r="B33" s="25">
        <v>8.25</v>
      </c>
      <c r="C33" s="44">
        <f>A33*B33</f>
        <v>8.25</v>
      </c>
      <c r="D33" s="408"/>
      <c r="E33" s="409"/>
      <c r="F33" s="409"/>
      <c r="G33" s="409"/>
      <c r="K33" s="71"/>
    </row>
    <row r="34" spans="1:11" ht="15.75" thickBot="1">
      <c r="A34" s="180"/>
      <c r="B34" s="179"/>
      <c r="C34" s="121">
        <f ca="1">SUM(C32:(OFFSET(C34,-1,0)))</f>
        <v>13.15</v>
      </c>
      <c r="D34" s="36">
        <f>'Labour Analysis'!$E$73*0.0644</f>
        <v>2.254</v>
      </c>
      <c r="E34" s="31">
        <v>0</v>
      </c>
      <c r="F34" s="31">
        <f>'Material Analysis'!I31</f>
        <v>5</v>
      </c>
      <c r="G34" s="31">
        <v>0</v>
      </c>
      <c r="H34" s="25">
        <f ca="1">$C34</f>
        <v>13.15</v>
      </c>
      <c r="I34" s="30" t="s">
        <v>39</v>
      </c>
      <c r="J34" s="41">
        <f>SUM(D34:G34)</f>
        <v>7.2539999999999996</v>
      </c>
      <c r="K34" s="42">
        <f ca="1">SUM(H34*J34)</f>
        <v>95.39009999999999</v>
      </c>
    </row>
    <row r="37" spans="1:11">
      <c r="A37" s="41">
        <v>1</v>
      </c>
      <c r="B37" s="41">
        <v>4.5</v>
      </c>
      <c r="C37" s="427">
        <f>A37*(B37*B38)</f>
        <v>22.05</v>
      </c>
      <c r="D37" s="448" t="s">
        <v>732</v>
      </c>
      <c r="E37" s="449"/>
      <c r="F37" s="449"/>
      <c r="G37" s="450"/>
    </row>
    <row r="38" spans="1:11">
      <c r="A38" s="41"/>
      <c r="B38" s="41">
        <v>4.9000000000000004</v>
      </c>
      <c r="C38" s="428"/>
      <c r="D38" s="305" t="s">
        <v>728</v>
      </c>
      <c r="E38" s="444" t="str">
        <f>'Material Analysis'!C53</f>
        <v>Chipboard</v>
      </c>
      <c r="F38" s="445"/>
      <c r="G38" s="446"/>
    </row>
    <row r="39" spans="1:11">
      <c r="A39" s="41">
        <v>1</v>
      </c>
      <c r="B39" s="41">
        <v>8.25</v>
      </c>
      <c r="C39" s="427">
        <f>A39*(B39*B40)</f>
        <v>44.962499999999999</v>
      </c>
      <c r="D39" s="301" t="s">
        <v>670</v>
      </c>
      <c r="E39" s="444" t="str">
        <f>'Material Analysis'!D53</f>
        <v>CBF - 22mm thick</v>
      </c>
      <c r="F39" s="445"/>
      <c r="G39" s="446"/>
    </row>
    <row r="40" spans="1:11" ht="18" thickBot="1">
      <c r="A40" s="41"/>
      <c r="B40" s="41">
        <v>5.45</v>
      </c>
      <c r="C40" s="428"/>
      <c r="D40" s="36">
        <f>'Labour Analysis'!$E$73*0.1715</f>
        <v>6.0025000000000004</v>
      </c>
      <c r="E40" s="31">
        <v>0</v>
      </c>
      <c r="F40" s="31">
        <f>'Material Analysis'!I53</f>
        <v>8.4</v>
      </c>
      <c r="G40" s="31">
        <v>0</v>
      </c>
      <c r="H40" s="25">
        <f ca="1">$C41</f>
        <v>67.012500000000003</v>
      </c>
      <c r="I40" s="30" t="s">
        <v>13</v>
      </c>
      <c r="J40" s="41">
        <f>SUM(D40:G40)</f>
        <v>14.4025</v>
      </c>
      <c r="K40" s="42">
        <f ca="1">SUM(H40*J40)</f>
        <v>965.14753125000004</v>
      </c>
    </row>
    <row r="41" spans="1:11" ht="15.75" thickBot="1">
      <c r="A41" s="3"/>
      <c r="B41" s="3"/>
      <c r="C41" s="121">
        <f ca="1">SUM(C37:(OFFSET(C41,-1,0)))</f>
        <v>67.012500000000003</v>
      </c>
    </row>
    <row r="50" spans="1:11" ht="15" customHeight="1"/>
    <row r="51" spans="1:11" ht="15" customHeight="1"/>
    <row r="58" spans="1:11">
      <c r="B58" s="4"/>
      <c r="C58" s="52"/>
      <c r="D58" s="67"/>
      <c r="E58"/>
      <c r="F58"/>
      <c r="G58"/>
      <c r="K58" s="71"/>
    </row>
    <row r="59" spans="1:11">
      <c r="A59" s="4"/>
      <c r="D59" s="67"/>
      <c r="E59"/>
      <c r="F59"/>
      <c r="G59"/>
      <c r="K59" s="71"/>
    </row>
    <row r="60" spans="1:11" ht="15.75" thickBot="1">
      <c r="A60" s="4"/>
    </row>
    <row r="61" spans="1:11" ht="17.25" thickTop="1" thickBot="1">
      <c r="B61" s="405" t="s">
        <v>36</v>
      </c>
      <c r="C61" s="406"/>
      <c r="D61" s="72">
        <f ca="1">SUMPRODUCT(D1:D60,$H1:$H60)</f>
        <v>1620.0048812499999</v>
      </c>
      <c r="E61" s="72">
        <f ca="1">SUMPRODUCT(E1:E60,$H1:$H60)</f>
        <v>0</v>
      </c>
      <c r="F61" s="72">
        <f ca="1">SUMPRODUCT(F1:F60,$H1:$H60)</f>
        <v>2926.9550000000004</v>
      </c>
      <c r="G61" s="72">
        <f ca="1">SUMPRODUCT(G1:G60,$H1:$H60)</f>
        <v>0</v>
      </c>
      <c r="H61" s="57">
        <f ca="1">SUM(D61:G61)</f>
        <v>4546.9598812500008</v>
      </c>
      <c r="I61" s="54"/>
      <c r="J61" s="199"/>
      <c r="K61" s="56">
        <f ca="1">SUM(K7:K60)</f>
        <v>4546.9598812499999</v>
      </c>
    </row>
    <row r="62" spans="1:11">
      <c r="C62" s="14"/>
      <c r="G62" s="17"/>
      <c r="K62" s="58" t="str">
        <f ca="1">IF((H61+J61)=K61,"Correct")</f>
        <v>Correct</v>
      </c>
    </row>
  </sheetData>
  <sheetProtection sheet="1" objects="1" scenarios="1" selectLockedCells="1" selectUnlockedCells="1"/>
  <mergeCells count="23">
    <mergeCell ref="E13:G13"/>
    <mergeCell ref="C37:C38"/>
    <mergeCell ref="D11:G11"/>
    <mergeCell ref="A2:A3"/>
    <mergeCell ref="B2:C3"/>
    <mergeCell ref="D2:G2"/>
    <mergeCell ref="E12:G12"/>
    <mergeCell ref="B61:C61"/>
    <mergeCell ref="K2:K3"/>
    <mergeCell ref="D18:G19"/>
    <mergeCell ref="D23:G23"/>
    <mergeCell ref="D27:G28"/>
    <mergeCell ref="D32:G33"/>
    <mergeCell ref="J2:J3"/>
    <mergeCell ref="D5:G5"/>
    <mergeCell ref="E6:G6"/>
    <mergeCell ref="E7:G7"/>
    <mergeCell ref="D37:G37"/>
    <mergeCell ref="E38:G38"/>
    <mergeCell ref="E39:G39"/>
    <mergeCell ref="H2:H3"/>
    <mergeCell ref="I2:I3"/>
    <mergeCell ref="C39:C40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 Ltd&amp;C&amp;P of &amp;N&amp;R&amp;A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1"/>
  <dimension ref="A1:K111"/>
  <sheetViews>
    <sheetView view="pageLayout" workbookViewId="0">
      <selection activeCell="D54" sqref="D54"/>
    </sheetView>
  </sheetViews>
  <sheetFormatPr defaultRowHeight="15"/>
  <cols>
    <col min="1" max="2" width="10.5703125" style="29" customWidth="1"/>
    <col min="3" max="3" width="10.5703125" style="75" customWidth="1"/>
    <col min="4" max="4" width="9.28515625" style="9" bestFit="1" customWidth="1"/>
    <col min="5" max="5" width="9.28515625" style="223" customWidth="1"/>
    <col min="6" max="6" width="9.28515625" style="223" bestFit="1" customWidth="1"/>
    <col min="7" max="7" width="9.28515625" style="223" customWidth="1"/>
    <col min="8" max="8" width="10.5703125" style="4" customWidth="1"/>
    <col min="9" max="9" width="5.140625" style="4" customWidth="1"/>
    <col min="10" max="10" width="10.5703125" style="4" customWidth="1"/>
    <col min="11" max="11" width="10.5703125" style="11" customWidth="1"/>
  </cols>
  <sheetData>
    <row r="1" spans="1:11" s="88" customFormat="1">
      <c r="A1" s="111" t="s">
        <v>273</v>
      </c>
      <c r="B1" s="86"/>
      <c r="C1" s="87"/>
      <c r="D1" s="107"/>
      <c r="E1" s="107"/>
      <c r="F1" s="107"/>
      <c r="G1" s="107"/>
      <c r="H1" s="108"/>
      <c r="I1" s="108"/>
      <c r="J1" s="108"/>
      <c r="K1" s="109"/>
    </row>
    <row r="2" spans="1:11" s="1" customFormat="1">
      <c r="A2" s="421" t="s">
        <v>0</v>
      </c>
      <c r="B2" s="421" t="s">
        <v>1</v>
      </c>
      <c r="C2" s="433"/>
      <c r="D2" s="432" t="s">
        <v>2</v>
      </c>
      <c r="E2" s="425"/>
      <c r="F2" s="425"/>
      <c r="G2" s="433"/>
      <c r="H2" s="430" t="s">
        <v>6</v>
      </c>
      <c r="I2" s="430" t="s">
        <v>7</v>
      </c>
      <c r="J2" s="430" t="s">
        <v>8</v>
      </c>
      <c r="K2" s="434" t="s">
        <v>9</v>
      </c>
    </row>
    <row r="3" spans="1:11" s="6" customFormat="1">
      <c r="A3" s="422"/>
      <c r="B3" s="422"/>
      <c r="C3" s="461"/>
      <c r="D3" s="7" t="s">
        <v>3</v>
      </c>
      <c r="E3" s="220" t="s">
        <v>4</v>
      </c>
      <c r="F3" s="220" t="s">
        <v>5</v>
      </c>
      <c r="G3" s="220" t="s">
        <v>45</v>
      </c>
      <c r="H3" s="431"/>
      <c r="I3" s="431"/>
      <c r="J3" s="431"/>
      <c r="K3" s="435"/>
    </row>
    <row r="4" spans="1:11">
      <c r="A4" s="3"/>
      <c r="B4" s="3"/>
      <c r="C4" s="227"/>
      <c r="D4" s="8"/>
      <c r="E4" s="228"/>
      <c r="F4" s="228"/>
      <c r="G4" s="228"/>
      <c r="H4" s="3"/>
      <c r="I4" s="2"/>
      <c r="J4" s="3"/>
      <c r="K4" s="10"/>
    </row>
    <row r="5" spans="1:11" ht="15" customHeight="1">
      <c r="A5" s="27">
        <v>2</v>
      </c>
      <c r="B5" s="27">
        <v>8.4</v>
      </c>
      <c r="C5" s="218">
        <f>A5*B5</f>
        <v>16.8</v>
      </c>
      <c r="D5" s="408" t="s">
        <v>60</v>
      </c>
      <c r="E5" s="409"/>
      <c r="F5" s="409"/>
      <c r="G5" s="409"/>
      <c r="H5" s="2"/>
      <c r="I5" s="2"/>
      <c r="J5" s="2"/>
      <c r="K5" s="10"/>
    </row>
    <row r="6" spans="1:11">
      <c r="A6" s="25">
        <v>2</v>
      </c>
      <c r="B6" s="25">
        <v>5</v>
      </c>
      <c r="C6" s="216">
        <f>A6*B6</f>
        <v>10</v>
      </c>
      <c r="D6" s="408"/>
      <c r="E6" s="409"/>
      <c r="F6" s="409"/>
      <c r="G6" s="409"/>
      <c r="H6" s="2"/>
      <c r="I6" s="2"/>
      <c r="J6" s="2"/>
      <c r="K6" s="10"/>
    </row>
    <row r="7" spans="1:11" ht="15.75" thickBot="1">
      <c r="A7" s="25">
        <v>2</v>
      </c>
      <c r="B7" s="25">
        <v>2.8</v>
      </c>
      <c r="C7" s="326">
        <f>A7*B7</f>
        <v>5.6</v>
      </c>
      <c r="D7" s="36">
        <f>'Labour Analysis'!$E$73*0.0785</f>
        <v>2.7475000000000001</v>
      </c>
      <c r="E7" s="31">
        <v>0</v>
      </c>
      <c r="F7" s="31">
        <f>'Material Analysis'!I21</f>
        <v>1.4000000000000001</v>
      </c>
      <c r="G7" s="31">
        <v>0</v>
      </c>
      <c r="H7" s="25">
        <f ca="1">$C8</f>
        <v>32.4</v>
      </c>
      <c r="I7" s="30" t="s">
        <v>39</v>
      </c>
      <c r="J7" s="41">
        <f>SUM(D7:G7)</f>
        <v>4.1475</v>
      </c>
      <c r="K7" s="42">
        <f ca="1">SUM(H7*J7)</f>
        <v>134.37899999999999</v>
      </c>
    </row>
    <row r="8" spans="1:11" ht="15.75" thickBot="1">
      <c r="A8" s="180"/>
      <c r="B8" s="179"/>
      <c r="C8" s="121">
        <f ca="1">SUM(C5:(OFFSET(C8,-1,0)))</f>
        <v>32.4</v>
      </c>
      <c r="D8" s="8"/>
      <c r="E8" s="228"/>
      <c r="F8" s="228"/>
      <c r="G8" s="228"/>
      <c r="H8" s="2"/>
      <c r="I8" s="2"/>
      <c r="J8" s="2"/>
      <c r="K8" s="10"/>
    </row>
    <row r="9" spans="1:11">
      <c r="A9" s="3"/>
      <c r="B9" s="3"/>
      <c r="C9" s="227"/>
      <c r="D9" s="8"/>
      <c r="E9" s="330"/>
      <c r="F9" s="330"/>
      <c r="G9" s="330"/>
      <c r="H9" s="2"/>
      <c r="I9" s="2"/>
      <c r="J9" s="2"/>
      <c r="K9" s="10"/>
    </row>
    <row r="10" spans="1:11" ht="15" customHeight="1">
      <c r="A10" s="3"/>
      <c r="B10" s="3"/>
      <c r="C10" s="227"/>
      <c r="D10" s="8"/>
      <c r="E10" s="228"/>
      <c r="F10" s="228"/>
      <c r="G10" s="228"/>
      <c r="H10" s="2"/>
      <c r="I10" s="2"/>
      <c r="J10" s="2"/>
      <c r="K10" s="10"/>
    </row>
    <row r="11" spans="1:11" ht="15" customHeight="1">
      <c r="A11" s="3"/>
      <c r="B11" s="3"/>
      <c r="C11" s="217"/>
      <c r="D11" s="448" t="s">
        <v>61</v>
      </c>
      <c r="E11" s="449"/>
      <c r="F11" s="449"/>
      <c r="G11" s="450"/>
      <c r="H11" s="2"/>
      <c r="I11" s="2"/>
      <c r="J11" s="2"/>
      <c r="K11" s="10"/>
    </row>
    <row r="12" spans="1:11" ht="15.75" thickBot="1">
      <c r="A12" s="3"/>
      <c r="B12" s="3"/>
      <c r="C12" s="217"/>
      <c r="D12" s="451"/>
      <c r="E12" s="452"/>
      <c r="F12" s="452"/>
      <c r="G12" s="453"/>
      <c r="H12" s="2"/>
      <c r="I12" s="2"/>
      <c r="J12" s="2"/>
      <c r="K12" s="10"/>
    </row>
    <row r="13" spans="1:11" ht="15.75" thickBot="1">
      <c r="A13" s="25">
        <v>18</v>
      </c>
      <c r="B13" s="41">
        <v>1</v>
      </c>
      <c r="C13" s="64">
        <f>A13*B13</f>
        <v>18</v>
      </c>
      <c r="D13" s="36">
        <f>'Labour Analysis'!$E$73*0.0644</f>
        <v>2.254</v>
      </c>
      <c r="E13" s="34">
        <v>0</v>
      </c>
      <c r="F13" s="34">
        <f>'Material Analysis'!I59</f>
        <v>2.25</v>
      </c>
      <c r="G13" s="34">
        <v>0</v>
      </c>
      <c r="H13" s="27">
        <f>$C13</f>
        <v>18</v>
      </c>
      <c r="I13" s="50" t="s">
        <v>44</v>
      </c>
      <c r="J13" s="59">
        <f>SUM(D13:G13)</f>
        <v>4.5039999999999996</v>
      </c>
      <c r="K13" s="49">
        <f>J13*H13</f>
        <v>81.071999999999989</v>
      </c>
    </row>
    <row r="14" spans="1:11">
      <c r="A14" s="3"/>
      <c r="B14" s="3"/>
      <c r="C14" s="227"/>
      <c r="D14" s="67"/>
      <c r="E14"/>
      <c r="F14"/>
      <c r="G14"/>
      <c r="K14" s="71"/>
    </row>
    <row r="15" spans="1:11" ht="15" customHeight="1"/>
    <row r="16" spans="1:11">
      <c r="C16" s="14"/>
      <c r="D16" s="408" t="s">
        <v>51</v>
      </c>
      <c r="E16" s="409"/>
      <c r="F16" s="409"/>
      <c r="G16" s="409"/>
    </row>
    <row r="17" spans="1:11" ht="15.75" thickBot="1">
      <c r="C17" s="14"/>
      <c r="D17" s="408"/>
      <c r="E17" s="409"/>
      <c r="F17" s="409"/>
      <c r="G17" s="409"/>
      <c r="K17" s="71"/>
    </row>
    <row r="18" spans="1:11" ht="15.75" thickBot="1">
      <c r="A18" s="25">
        <v>16</v>
      </c>
      <c r="B18" s="41">
        <v>1</v>
      </c>
      <c r="C18" s="64">
        <f>A18*B18</f>
        <v>16</v>
      </c>
      <c r="D18" s="36">
        <f>'Labour Analysis'!$E$73*0.1</f>
        <v>3.5</v>
      </c>
      <c r="E18" s="34">
        <v>0</v>
      </c>
      <c r="F18" s="34">
        <f>'Material Analysis'!I61</f>
        <v>3.5</v>
      </c>
      <c r="G18" s="34">
        <v>0</v>
      </c>
      <c r="H18" s="27">
        <f>$C18</f>
        <v>16</v>
      </c>
      <c r="I18" s="50" t="s">
        <v>44</v>
      </c>
      <c r="J18" s="59">
        <f>SUM(D18:G18)</f>
        <v>7</v>
      </c>
      <c r="K18" s="49">
        <f>J18*H18</f>
        <v>112</v>
      </c>
    </row>
    <row r="20" spans="1:11" ht="15" customHeight="1"/>
    <row r="21" spans="1:11">
      <c r="C21" s="14"/>
      <c r="D21" s="471" t="s">
        <v>62</v>
      </c>
      <c r="E21" s="472"/>
      <c r="F21" s="472"/>
      <c r="G21" s="473"/>
      <c r="K21" s="71"/>
    </row>
    <row r="22" spans="1:11">
      <c r="C22" s="14"/>
      <c r="D22" s="474"/>
      <c r="E22" s="475"/>
      <c r="F22" s="475"/>
      <c r="G22" s="476"/>
    </row>
    <row r="23" spans="1:11" ht="15.75" thickBot="1">
      <c r="C23" s="306"/>
      <c r="D23" s="307" t="s">
        <v>728</v>
      </c>
      <c r="E23" s="477" t="str">
        <f>'Material Analysis'!C37</f>
        <v>Fink</v>
      </c>
      <c r="F23" s="478"/>
      <c r="G23" s="479"/>
    </row>
    <row r="24" spans="1:11" ht="15.75" thickBot="1">
      <c r="A24" s="27">
        <v>15</v>
      </c>
      <c r="B24" s="59">
        <v>1</v>
      </c>
      <c r="C24" s="64">
        <f>A24*B24</f>
        <v>15</v>
      </c>
      <c r="D24" s="36">
        <f>'Labour Analysis'!$E$73*0.5</f>
        <v>17.5</v>
      </c>
      <c r="E24" s="34">
        <v>0</v>
      </c>
      <c r="F24" s="34">
        <f>'Material Analysis'!I35</f>
        <v>60.800000000000004</v>
      </c>
      <c r="G24" s="34">
        <v>0</v>
      </c>
      <c r="H24" s="27">
        <f>$C24</f>
        <v>15</v>
      </c>
      <c r="I24" s="50" t="s">
        <v>44</v>
      </c>
      <c r="J24" s="59">
        <f>SUM(D24:G24)</f>
        <v>78.300000000000011</v>
      </c>
      <c r="K24" s="49">
        <f>SUM(H24*J24)</f>
        <v>1174.5000000000002</v>
      </c>
    </row>
    <row r="25" spans="1:11" ht="15" customHeight="1">
      <c r="A25" s="3"/>
      <c r="B25" s="3"/>
      <c r="C25" s="93"/>
    </row>
    <row r="27" spans="1:11">
      <c r="C27" s="14"/>
      <c r="D27" s="471" t="s">
        <v>918</v>
      </c>
      <c r="E27" s="472"/>
      <c r="F27" s="472"/>
      <c r="G27" s="473"/>
      <c r="K27" s="71"/>
    </row>
    <row r="28" spans="1:11">
      <c r="C28" s="14"/>
      <c r="D28" s="474"/>
      <c r="E28" s="475"/>
      <c r="F28" s="475"/>
      <c r="G28" s="476"/>
    </row>
    <row r="29" spans="1:11" ht="15.75" thickBot="1">
      <c r="C29" s="306"/>
      <c r="D29" s="307" t="s">
        <v>728</v>
      </c>
      <c r="E29" s="477" t="str">
        <f>'Material Analysis'!C36</f>
        <v>Fink</v>
      </c>
      <c r="F29" s="478"/>
      <c r="G29" s="479"/>
    </row>
    <row r="30" spans="1:11" ht="15.75" thickBot="1">
      <c r="A30" s="27">
        <v>10</v>
      </c>
      <c r="B30" s="59">
        <v>1</v>
      </c>
      <c r="C30" s="64">
        <f>A30*B30</f>
        <v>10</v>
      </c>
      <c r="D30" s="36">
        <f>'Labour Analysis'!$E$73*0.5</f>
        <v>17.5</v>
      </c>
      <c r="E30" s="34">
        <v>0</v>
      </c>
      <c r="F30" s="34">
        <f>'Material Analysis'!I36</f>
        <v>54</v>
      </c>
      <c r="G30" s="34">
        <v>0</v>
      </c>
      <c r="H30" s="27">
        <f>$C30</f>
        <v>10</v>
      </c>
      <c r="I30" s="50" t="s">
        <v>44</v>
      </c>
      <c r="J30" s="59">
        <f>SUM(D30:G30)</f>
        <v>71.5</v>
      </c>
      <c r="K30" s="49">
        <f>SUM(H30*J30)</f>
        <v>715</v>
      </c>
    </row>
    <row r="31" spans="1:11">
      <c r="A31" s="3"/>
      <c r="B31" s="3"/>
      <c r="C31" s="93"/>
      <c r="E31" s="329"/>
      <c r="F31" s="329"/>
      <c r="G31" s="329"/>
    </row>
    <row r="32" spans="1:11">
      <c r="E32" s="329"/>
      <c r="F32" s="329"/>
      <c r="G32" s="329"/>
    </row>
    <row r="33" spans="1:11">
      <c r="C33" s="14"/>
      <c r="D33" s="471" t="s">
        <v>918</v>
      </c>
      <c r="E33" s="472"/>
      <c r="F33" s="472"/>
      <c r="G33" s="473"/>
      <c r="K33" s="71"/>
    </row>
    <row r="34" spans="1:11">
      <c r="C34" s="14"/>
      <c r="D34" s="474"/>
      <c r="E34" s="475"/>
      <c r="F34" s="475"/>
      <c r="G34" s="476"/>
    </row>
    <row r="35" spans="1:11" ht="15.75" thickBot="1">
      <c r="C35" s="306"/>
      <c r="D35" s="307" t="s">
        <v>728</v>
      </c>
      <c r="E35" s="477" t="str">
        <f>'Material Analysis'!C37</f>
        <v>Fink</v>
      </c>
      <c r="F35" s="478"/>
      <c r="G35" s="479"/>
    </row>
    <row r="36" spans="1:11" ht="15.75" thickBot="1">
      <c r="A36" s="27">
        <v>6</v>
      </c>
      <c r="B36" s="59">
        <v>1</v>
      </c>
      <c r="C36" s="64">
        <f>A36*B36</f>
        <v>6</v>
      </c>
      <c r="D36" s="36">
        <f>'Labour Analysis'!$E$73*0.5</f>
        <v>17.5</v>
      </c>
      <c r="E36" s="34">
        <v>0</v>
      </c>
      <c r="F36" s="34">
        <f>'Material Analysis'!I37</f>
        <v>45</v>
      </c>
      <c r="G36" s="34">
        <v>0</v>
      </c>
      <c r="H36" s="27">
        <f>$C36</f>
        <v>6</v>
      </c>
      <c r="I36" s="50" t="s">
        <v>44</v>
      </c>
      <c r="J36" s="59">
        <f>SUM(D36:G36)</f>
        <v>62.5</v>
      </c>
      <c r="K36" s="49">
        <f>SUM(H36*J36)</f>
        <v>375</v>
      </c>
    </row>
    <row r="37" spans="1:11">
      <c r="A37" s="3"/>
      <c r="B37" s="3"/>
      <c r="C37" s="93"/>
      <c r="E37" s="329"/>
      <c r="F37" s="329"/>
      <c r="G37" s="329"/>
    </row>
    <row r="38" spans="1:11">
      <c r="E38" s="329"/>
      <c r="F38" s="329"/>
      <c r="G38" s="329"/>
    </row>
    <row r="39" spans="1:11">
      <c r="A39" s="27">
        <v>1</v>
      </c>
      <c r="B39" s="27">
        <v>8.6</v>
      </c>
      <c r="C39" s="297">
        <f>A39*B39</f>
        <v>8.6</v>
      </c>
      <c r="D39" s="439" t="s">
        <v>759</v>
      </c>
      <c r="E39" s="440"/>
      <c r="F39" s="440"/>
      <c r="G39" s="441"/>
    </row>
    <row r="40" spans="1:11">
      <c r="A40" s="25">
        <v>1</v>
      </c>
      <c r="B40" s="25">
        <v>3</v>
      </c>
      <c r="C40" s="296">
        <f>A40*B40</f>
        <v>3</v>
      </c>
      <c r="D40" s="302" t="s">
        <v>729</v>
      </c>
      <c r="E40" s="444" t="str">
        <f>'Material Analysis'!C33</f>
        <v>UPVC</v>
      </c>
      <c r="F40" s="445"/>
      <c r="G40" s="446"/>
    </row>
    <row r="41" spans="1:11">
      <c r="A41" s="25">
        <v>2</v>
      </c>
      <c r="B41" s="25">
        <v>4.5999999999999996</v>
      </c>
      <c r="C41" s="332">
        <f>A41*B41</f>
        <v>9.1999999999999993</v>
      </c>
      <c r="D41" s="301" t="s">
        <v>686</v>
      </c>
      <c r="E41" s="444" t="str">
        <f>'Material Analysis'!D33</f>
        <v>200 x 20mm</v>
      </c>
      <c r="F41" s="445"/>
      <c r="G41" s="446"/>
    </row>
    <row r="42" spans="1:11" ht="15.75" thickBot="1">
      <c r="A42" s="25">
        <v>1</v>
      </c>
      <c r="B42" s="25">
        <v>3.2</v>
      </c>
      <c r="C42" s="332">
        <f>A42*B42</f>
        <v>3.2</v>
      </c>
      <c r="D42" s="36">
        <f>'Labour Analysis'!$E$73*0.0856</f>
        <v>2.996</v>
      </c>
      <c r="E42" s="31">
        <v>0</v>
      </c>
      <c r="F42" s="31">
        <f>'Material Analysis'!I33</f>
        <v>9</v>
      </c>
      <c r="G42" s="31">
        <v>0</v>
      </c>
      <c r="H42" s="25">
        <f ca="1">$C43</f>
        <v>23.999999999999996</v>
      </c>
      <c r="I42" s="30" t="s">
        <v>39</v>
      </c>
      <c r="J42" s="41">
        <f>SUM(D42:G42)</f>
        <v>11.996</v>
      </c>
      <c r="K42" s="42">
        <f ca="1">SUM(H42*J42)</f>
        <v>287.904</v>
      </c>
    </row>
    <row r="43" spans="1:11" ht="15.75" thickBot="1">
      <c r="A43" s="180"/>
      <c r="B43" s="179"/>
      <c r="C43" s="121">
        <f ca="1">SUM(C39:(OFFSET(C43,-1,0)))</f>
        <v>23.999999999999996</v>
      </c>
      <c r="E43" s="298"/>
      <c r="F43" s="298"/>
      <c r="G43" s="298"/>
    </row>
    <row r="44" spans="1:11">
      <c r="E44" s="470" t="s">
        <v>37</v>
      </c>
      <c r="F44" s="470"/>
      <c r="G44" s="298"/>
    </row>
    <row r="45" spans="1:11">
      <c r="D45" s="439" t="s">
        <v>760</v>
      </c>
      <c r="E45" s="440"/>
      <c r="F45" s="440"/>
      <c r="G45" s="441"/>
    </row>
    <row r="46" spans="1:11">
      <c r="A46" s="13"/>
      <c r="B46" s="13"/>
      <c r="C46" s="62"/>
      <c r="D46" s="302" t="s">
        <v>729</v>
      </c>
      <c r="E46" s="444" t="str">
        <f>'Material Analysis'!C34</f>
        <v>UPVC</v>
      </c>
      <c r="F46" s="445"/>
      <c r="G46" s="446"/>
    </row>
    <row r="47" spans="1:11">
      <c r="A47" s="13"/>
      <c r="B47" s="13"/>
      <c r="C47" s="62"/>
      <c r="D47" s="301" t="s">
        <v>686</v>
      </c>
      <c r="E47" s="444" t="str">
        <f>'Material Analysis'!D34</f>
        <v>200 x 9mm</v>
      </c>
      <c r="F47" s="445"/>
      <c r="G47" s="446"/>
    </row>
    <row r="48" spans="1:11">
      <c r="A48" s="13"/>
      <c r="B48" s="13"/>
      <c r="C48" s="62"/>
      <c r="D48" s="36">
        <f>'Labour Analysis'!$E$73*0.0856</f>
        <v>2.996</v>
      </c>
      <c r="E48" s="31">
        <v>0</v>
      </c>
      <c r="F48" s="31">
        <f>'Material Analysis'!I34+1</f>
        <v>8.3999999999999986</v>
      </c>
      <c r="G48" s="31">
        <v>0</v>
      </c>
      <c r="H48" s="25">
        <f ca="1">$C43</f>
        <v>23.999999999999996</v>
      </c>
      <c r="I48" s="30" t="s">
        <v>39</v>
      </c>
      <c r="J48" s="41">
        <f>SUM(D48:G48)</f>
        <v>11.395999999999999</v>
      </c>
      <c r="K48" s="42">
        <f ca="1">SUM(H48*J48)</f>
        <v>273.50399999999996</v>
      </c>
    </row>
    <row r="49" spans="1:11">
      <c r="A49" s="5"/>
      <c r="B49" s="5"/>
      <c r="C49" s="92"/>
      <c r="E49" s="298"/>
      <c r="F49" s="298"/>
      <c r="G49" s="17"/>
    </row>
    <row r="50" spans="1:11">
      <c r="E50" s="298"/>
      <c r="F50" s="298"/>
      <c r="G50" s="298"/>
    </row>
    <row r="51" spans="1:11">
      <c r="E51" s="335"/>
      <c r="F51" s="335"/>
      <c r="G51" s="335"/>
    </row>
    <row r="52" spans="1:11" ht="15.75" customHeight="1">
      <c r="E52" s="335"/>
      <c r="F52" s="335"/>
      <c r="G52" s="335"/>
    </row>
    <row r="53" spans="1:11" ht="15.75" customHeight="1">
      <c r="E53" s="335"/>
      <c r="F53" s="335"/>
      <c r="G53" s="335"/>
    </row>
    <row r="54" spans="1:11" ht="15" customHeight="1">
      <c r="E54" s="335"/>
      <c r="F54" s="335"/>
      <c r="G54" s="335"/>
    </row>
    <row r="55" spans="1:11" ht="15" customHeight="1">
      <c r="E55" s="335"/>
      <c r="F55" s="335"/>
      <c r="G55" s="335"/>
    </row>
    <row r="56" spans="1:11" ht="15" customHeight="1">
      <c r="E56" s="335"/>
      <c r="F56" s="335"/>
      <c r="G56" s="335"/>
    </row>
    <row r="57" spans="1:11" ht="15.75" customHeight="1">
      <c r="E57" s="335"/>
      <c r="F57" s="335"/>
      <c r="G57" s="335"/>
    </row>
    <row r="58" spans="1:11" ht="15" customHeight="1">
      <c r="E58" s="335"/>
      <c r="F58" s="335"/>
      <c r="G58" s="335"/>
    </row>
    <row r="59" spans="1:11">
      <c r="E59" s="335"/>
      <c r="F59" s="335"/>
      <c r="G59" s="335"/>
    </row>
    <row r="60" spans="1:11" ht="15.75" thickBot="1">
      <c r="E60" s="335"/>
      <c r="F60" s="335"/>
      <c r="G60" s="335"/>
    </row>
    <row r="61" spans="1:11" ht="17.25" thickTop="1" thickBot="1">
      <c r="B61" s="405" t="s">
        <v>36</v>
      </c>
      <c r="C61" s="406"/>
      <c r="D61" s="72">
        <f ca="1">SUMPRODUCT(D1:D60,$H1:$H60)</f>
        <v>871.899</v>
      </c>
      <c r="E61" s="72">
        <f ca="1">SUMPRODUCT(E1:E60,$H1:$H60)</f>
        <v>0</v>
      </c>
      <c r="F61" s="72">
        <f ca="1">SUMPRODUCT(F1:F60,$H1:$H60)</f>
        <v>2281.46</v>
      </c>
      <c r="G61" s="72">
        <f ca="1">SUMPRODUCT(G1:G60,$H1:$H60)</f>
        <v>0</v>
      </c>
      <c r="H61" s="57">
        <f ca="1">SUM(D61:G61)</f>
        <v>3153.3589999999999</v>
      </c>
      <c r="I61" s="54"/>
      <c r="J61" s="199"/>
      <c r="K61" s="56">
        <f ca="1">SUM(K5:K60)</f>
        <v>3153.3589999999999</v>
      </c>
    </row>
    <row r="62" spans="1:11" ht="15" customHeight="1">
      <c r="C62" s="14"/>
      <c r="G62" s="17"/>
      <c r="K62" s="58" t="str">
        <f ca="1">IF((H61+J61)=K61,"Correct")</f>
        <v>Correct</v>
      </c>
    </row>
    <row r="64" spans="1:11" ht="15" customHeight="1"/>
    <row r="66" ht="15" customHeight="1"/>
    <row r="69" ht="15" customHeight="1"/>
    <row r="71" ht="15" customHeight="1"/>
    <row r="82" ht="15" customHeight="1"/>
    <row r="83" ht="15" customHeight="1"/>
    <row r="88" ht="15" customHeight="1"/>
    <row r="97" ht="15" customHeight="1"/>
    <row r="100" ht="15" customHeight="1"/>
    <row r="101" ht="15" customHeight="1"/>
    <row r="104" ht="15" customHeight="1"/>
    <row r="108" ht="15.75" customHeight="1"/>
    <row r="111" ht="15" customHeight="1"/>
  </sheetData>
  <sheetProtection sheet="1" objects="1" scenarios="1" selectLockedCells="1" selectUnlockedCells="1"/>
  <mergeCells count="24">
    <mergeCell ref="D39:G39"/>
    <mergeCell ref="E40:G40"/>
    <mergeCell ref="E46:G46"/>
    <mergeCell ref="A2:A3"/>
    <mergeCell ref="B2:C3"/>
    <mergeCell ref="D2:G2"/>
    <mergeCell ref="D11:G12"/>
    <mergeCell ref="D16:G17"/>
    <mergeCell ref="D27:G28"/>
    <mergeCell ref="E29:G29"/>
    <mergeCell ref="D33:G34"/>
    <mergeCell ref="E35:G35"/>
    <mergeCell ref="D21:G22"/>
    <mergeCell ref="E23:G23"/>
    <mergeCell ref="H2:H3"/>
    <mergeCell ref="I2:I3"/>
    <mergeCell ref="K2:K3"/>
    <mergeCell ref="D5:G6"/>
    <mergeCell ref="J2:J3"/>
    <mergeCell ref="B61:C61"/>
    <mergeCell ref="E41:G41"/>
    <mergeCell ref="E44:F44"/>
    <mergeCell ref="D45:G45"/>
    <mergeCell ref="E47:G47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 Ltd&amp;C&amp;P of &amp;N&amp;R&amp;A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D2" sqref="D2:E6"/>
    </sheetView>
  </sheetViews>
  <sheetFormatPr defaultRowHeight="15"/>
  <cols>
    <col min="1" max="1" width="18.7109375" bestFit="1" customWidth="1"/>
    <col min="2" max="2" width="9.140625" style="152"/>
    <col min="4" max="4" width="19.5703125" bestFit="1" customWidth="1"/>
    <col min="5" max="5" width="9.140625" style="152"/>
  </cols>
  <sheetData>
    <row r="1" spans="1:5">
      <c r="A1" t="s">
        <v>765</v>
      </c>
      <c r="B1" s="152" t="s">
        <v>294</v>
      </c>
      <c r="D1" t="s">
        <v>771</v>
      </c>
      <c r="E1" s="152" t="s">
        <v>294</v>
      </c>
    </row>
    <row r="2" spans="1:5">
      <c r="A2" t="s">
        <v>766</v>
      </c>
      <c r="B2" s="152">
        <v>35</v>
      </c>
      <c r="D2" t="s">
        <v>772</v>
      </c>
      <c r="E2" s="152">
        <v>35</v>
      </c>
    </row>
    <row r="3" spans="1:5">
      <c r="A3" t="s">
        <v>767</v>
      </c>
      <c r="B3" s="152">
        <v>75</v>
      </c>
      <c r="D3" t="s">
        <v>775</v>
      </c>
      <c r="E3" s="152">
        <v>60</v>
      </c>
    </row>
    <row r="4" spans="1:5">
      <c r="A4" t="s">
        <v>770</v>
      </c>
      <c r="B4" s="152">
        <v>120</v>
      </c>
      <c r="D4" t="s">
        <v>776</v>
      </c>
      <c r="E4" s="152">
        <v>70</v>
      </c>
    </row>
    <row r="5" spans="1:5">
      <c r="A5" t="s">
        <v>768</v>
      </c>
      <c r="B5" s="152">
        <v>200</v>
      </c>
      <c r="D5" t="s">
        <v>773</v>
      </c>
      <c r="E5" s="152">
        <v>65</v>
      </c>
    </row>
    <row r="6" spans="1:5">
      <c r="A6" t="s">
        <v>769</v>
      </c>
      <c r="B6" s="152">
        <v>200</v>
      </c>
      <c r="D6" t="s">
        <v>774</v>
      </c>
      <c r="E6" s="152">
        <v>85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2"/>
  <dimension ref="A1:K112"/>
  <sheetViews>
    <sheetView view="pageLayout" workbookViewId="0">
      <selection activeCell="F11" sqref="F11"/>
    </sheetView>
  </sheetViews>
  <sheetFormatPr defaultRowHeight="15"/>
  <cols>
    <col min="1" max="2" width="10.5703125" style="29" customWidth="1"/>
    <col min="3" max="3" width="10.5703125" style="75" customWidth="1"/>
    <col min="4" max="4" width="9.28515625" style="9" bestFit="1" customWidth="1"/>
    <col min="5" max="5" width="9.28515625" style="223" customWidth="1"/>
    <col min="6" max="6" width="9.28515625" style="223" bestFit="1" customWidth="1"/>
    <col min="7" max="7" width="9.28515625" style="223" customWidth="1"/>
    <col min="8" max="8" width="10.5703125" style="4" customWidth="1"/>
    <col min="9" max="9" width="5.140625" style="4" customWidth="1"/>
    <col min="10" max="10" width="10.5703125" style="4" customWidth="1"/>
    <col min="11" max="11" width="10.5703125" style="11" customWidth="1"/>
  </cols>
  <sheetData>
    <row r="1" spans="1:11" s="88" customFormat="1">
      <c r="A1" s="111" t="s">
        <v>274</v>
      </c>
      <c r="B1" s="86"/>
      <c r="C1" s="87"/>
      <c r="D1" s="107"/>
      <c r="E1" s="107"/>
      <c r="F1" s="107"/>
      <c r="G1" s="107"/>
      <c r="H1" s="108"/>
      <c r="I1" s="108"/>
      <c r="J1" s="108"/>
      <c r="K1" s="109"/>
    </row>
    <row r="2" spans="1:11" s="1" customFormat="1">
      <c r="A2" s="421" t="s">
        <v>0</v>
      </c>
      <c r="B2" s="421" t="s">
        <v>1</v>
      </c>
      <c r="C2" s="433"/>
      <c r="D2" s="432" t="s">
        <v>2</v>
      </c>
      <c r="E2" s="425"/>
      <c r="F2" s="425"/>
      <c r="G2" s="433"/>
      <c r="H2" s="430" t="s">
        <v>6</v>
      </c>
      <c r="I2" s="430" t="s">
        <v>7</v>
      </c>
      <c r="J2" s="430" t="s">
        <v>8</v>
      </c>
      <c r="K2" s="434" t="s">
        <v>9</v>
      </c>
    </row>
    <row r="3" spans="1:11" s="6" customFormat="1">
      <c r="A3" s="422"/>
      <c r="B3" s="422"/>
      <c r="C3" s="461"/>
      <c r="D3" s="7" t="s">
        <v>3</v>
      </c>
      <c r="E3" s="220" t="s">
        <v>4</v>
      </c>
      <c r="F3" s="220" t="s">
        <v>5</v>
      </c>
      <c r="G3" s="220" t="s">
        <v>45</v>
      </c>
      <c r="H3" s="431"/>
      <c r="I3" s="431"/>
      <c r="J3" s="431"/>
      <c r="K3" s="435"/>
    </row>
    <row r="4" spans="1:11">
      <c r="A4" s="3"/>
      <c r="B4" s="3"/>
      <c r="C4" s="227"/>
      <c r="D4" s="8"/>
      <c r="E4" s="228"/>
      <c r="F4" s="228"/>
      <c r="G4" s="228"/>
      <c r="H4" s="3"/>
      <c r="I4" s="2"/>
      <c r="J4" s="3"/>
      <c r="K4" s="10"/>
    </row>
    <row r="5" spans="1:11" ht="15" customHeight="1">
      <c r="A5" s="41">
        <v>2</v>
      </c>
      <c r="B5" s="41">
        <v>3.9</v>
      </c>
      <c r="C5" s="447">
        <f>A5*(B5*B6)</f>
        <v>70.97999999999999</v>
      </c>
      <c r="D5" s="408" t="s">
        <v>777</v>
      </c>
      <c r="E5" s="409"/>
      <c r="F5" s="409"/>
      <c r="G5" s="409"/>
    </row>
    <row r="6" spans="1:11">
      <c r="A6" s="41"/>
      <c r="B6" s="41">
        <v>9.1</v>
      </c>
      <c r="C6" s="447"/>
      <c r="D6" s="408"/>
      <c r="E6" s="409"/>
      <c r="F6" s="409"/>
      <c r="G6" s="409"/>
    </row>
    <row r="7" spans="1:11">
      <c r="A7" s="41">
        <v>2</v>
      </c>
      <c r="B7" s="41">
        <v>3.4</v>
      </c>
      <c r="C7" s="447">
        <f>A7*(B7*B8)</f>
        <v>32.64</v>
      </c>
      <c r="D7" s="408"/>
      <c r="E7" s="409"/>
      <c r="F7" s="409"/>
      <c r="G7" s="409"/>
    </row>
    <row r="8" spans="1:11">
      <c r="A8" s="41"/>
      <c r="B8" s="41">
        <v>4.8</v>
      </c>
      <c r="C8" s="427"/>
      <c r="D8" s="293" t="s">
        <v>728</v>
      </c>
      <c r="E8" s="444" t="s">
        <v>773</v>
      </c>
      <c r="F8" s="445"/>
      <c r="G8" s="446"/>
    </row>
    <row r="9" spans="1:11" ht="17.25">
      <c r="A9" s="41">
        <v>2</v>
      </c>
      <c r="B9" s="41">
        <v>2.7</v>
      </c>
      <c r="C9" s="447">
        <f>A9*(B9*B10)</f>
        <v>17.28</v>
      </c>
      <c r="D9" s="39">
        <v>0</v>
      </c>
      <c r="E9" s="34">
        <v>0</v>
      </c>
      <c r="F9" s="34">
        <v>0</v>
      </c>
      <c r="G9" s="34">
        <f>VLOOKUP(E8,PitchedPrices,2,0)</f>
        <v>65</v>
      </c>
      <c r="H9" s="27">
        <f ca="1">$C11</f>
        <v>120.89999999999999</v>
      </c>
      <c r="I9" s="30" t="s">
        <v>13</v>
      </c>
      <c r="J9" s="41">
        <f>SUM(D9:G9)</f>
        <v>65</v>
      </c>
      <c r="K9" s="42">
        <f ca="1">SUM(H9*J9)</f>
        <v>7858.4999999999991</v>
      </c>
    </row>
    <row r="10" spans="1:11" ht="15" customHeight="1" thickBot="1">
      <c r="A10" s="41"/>
      <c r="B10" s="41">
        <v>3.2</v>
      </c>
      <c r="C10" s="427"/>
      <c r="E10" s="335"/>
      <c r="F10" s="335"/>
      <c r="G10" s="335"/>
      <c r="H10" s="29"/>
      <c r="I10" s="2"/>
      <c r="J10" s="3"/>
      <c r="K10" s="10"/>
    </row>
    <row r="11" spans="1:11" ht="15.75" thickBot="1">
      <c r="C11" s="121">
        <f ca="1">SUM(C5:(OFFSET(C11,-1,0)))</f>
        <v>120.89999999999999</v>
      </c>
      <c r="E11" s="335"/>
      <c r="F11" s="335"/>
      <c r="G11" s="335"/>
      <c r="H11" s="29"/>
      <c r="I11" s="2"/>
      <c r="J11" s="3"/>
      <c r="K11" s="10"/>
    </row>
    <row r="14" spans="1:11">
      <c r="A14" s="27">
        <v>1</v>
      </c>
      <c r="B14" s="27">
        <v>8.6999999999999993</v>
      </c>
      <c r="C14" s="218">
        <f>A14*B14</f>
        <v>8.6999999999999993</v>
      </c>
      <c r="D14" s="416" t="s">
        <v>63</v>
      </c>
      <c r="E14" s="417"/>
      <c r="F14" s="417"/>
      <c r="G14" s="417"/>
    </row>
    <row r="15" spans="1:11" ht="15" customHeight="1">
      <c r="A15" s="25">
        <v>1</v>
      </c>
      <c r="B15" s="25">
        <v>7.3</v>
      </c>
      <c r="C15" s="216">
        <f>A15*B15</f>
        <v>7.3</v>
      </c>
      <c r="D15" s="36">
        <v>0</v>
      </c>
      <c r="E15" s="31">
        <v>0</v>
      </c>
      <c r="F15" s="31">
        <v>0</v>
      </c>
      <c r="G15" s="31">
        <v>20</v>
      </c>
      <c r="H15" s="25">
        <f ca="1">$C17</f>
        <v>19.2</v>
      </c>
      <c r="I15" s="30" t="s">
        <v>39</v>
      </c>
      <c r="J15" s="41">
        <f>SUM(D15:G15)</f>
        <v>20</v>
      </c>
      <c r="K15" s="42">
        <f ca="1">SUM(H15*J15)</f>
        <v>384</v>
      </c>
    </row>
    <row r="16" spans="1:11" ht="15.75" thickBot="1">
      <c r="A16" s="25">
        <v>1</v>
      </c>
      <c r="B16" s="25">
        <v>3.2</v>
      </c>
      <c r="C16" s="332">
        <f>A16*B16</f>
        <v>3.2</v>
      </c>
    </row>
    <row r="17" spans="1:11" ht="15.75" thickBot="1">
      <c r="A17" s="180"/>
      <c r="B17" s="179"/>
      <c r="C17" s="121">
        <f ca="1">SUM(C14:(OFFSET(C17,-1,0)))</f>
        <v>19.2</v>
      </c>
      <c r="E17" s="335"/>
      <c r="F17" s="335"/>
      <c r="G17" s="335"/>
    </row>
    <row r="20" spans="1:11" ht="15" customHeight="1">
      <c r="A20" s="27">
        <v>4</v>
      </c>
      <c r="B20" s="27">
        <v>3.5</v>
      </c>
      <c r="C20" s="218">
        <f>A20*B20</f>
        <v>14</v>
      </c>
      <c r="D20" s="408" t="s">
        <v>64</v>
      </c>
      <c r="E20" s="409"/>
      <c r="F20" s="409"/>
      <c r="G20" s="409"/>
    </row>
    <row r="21" spans="1:11">
      <c r="A21" s="25">
        <v>2</v>
      </c>
      <c r="B21" s="25">
        <v>3</v>
      </c>
      <c r="C21" s="216">
        <f>A21*B21</f>
        <v>6</v>
      </c>
      <c r="D21" s="408"/>
      <c r="E21" s="409"/>
      <c r="F21" s="409"/>
      <c r="G21" s="409"/>
    </row>
    <row r="22" spans="1:11" ht="15.75" thickBot="1">
      <c r="A22" s="25">
        <v>2</v>
      </c>
      <c r="B22" s="25">
        <v>2.7</v>
      </c>
      <c r="C22" s="332">
        <f>A22*B22</f>
        <v>5.4</v>
      </c>
      <c r="D22" s="36">
        <v>0</v>
      </c>
      <c r="E22" s="31">
        <v>0</v>
      </c>
      <c r="F22" s="31">
        <v>0</v>
      </c>
      <c r="G22" s="31">
        <v>10</v>
      </c>
      <c r="H22" s="25">
        <f ca="1">$C23</f>
        <v>25.4</v>
      </c>
      <c r="I22" s="30" t="s">
        <v>39</v>
      </c>
      <c r="J22" s="41">
        <f>SUM(D22:G22)</f>
        <v>10</v>
      </c>
      <c r="K22" s="42">
        <f ca="1">SUM(H22*J22)</f>
        <v>254</v>
      </c>
    </row>
    <row r="23" spans="1:11" ht="15.75" thickBot="1">
      <c r="A23" s="180"/>
      <c r="B23" s="179"/>
      <c r="C23" s="121">
        <f ca="1">SUM(C20:(OFFSET(C23,-1,0)))</f>
        <v>25.4</v>
      </c>
    </row>
    <row r="24" spans="1:11">
      <c r="E24" s="335"/>
      <c r="F24" s="335"/>
      <c r="G24" s="335"/>
    </row>
    <row r="25" spans="1:11" ht="15" customHeight="1"/>
    <row r="26" spans="1:11" ht="15.75" thickBot="1">
      <c r="A26" s="27">
        <v>2</v>
      </c>
      <c r="B26" s="27">
        <v>4.3</v>
      </c>
      <c r="C26" s="218">
        <f>A26*B26</f>
        <v>8.6</v>
      </c>
      <c r="D26" s="408" t="s">
        <v>65</v>
      </c>
      <c r="E26" s="409"/>
      <c r="F26" s="409"/>
      <c r="G26" s="409"/>
    </row>
    <row r="27" spans="1:11" ht="15.75" thickBot="1">
      <c r="A27" s="180"/>
      <c r="B27" s="179"/>
      <c r="C27" s="121">
        <f ca="1">SUM(C26:(OFFSET(C27,-1,0)))</f>
        <v>8.6</v>
      </c>
      <c r="D27" s="408"/>
      <c r="E27" s="409"/>
      <c r="F27" s="409"/>
      <c r="G27" s="409"/>
    </row>
    <row r="28" spans="1:11">
      <c r="D28" s="408"/>
      <c r="E28" s="409"/>
      <c r="F28" s="409"/>
      <c r="G28" s="409"/>
    </row>
    <row r="29" spans="1:11">
      <c r="D29" s="94">
        <v>0</v>
      </c>
      <c r="E29" s="95">
        <v>0</v>
      </c>
      <c r="F29" s="95">
        <v>0</v>
      </c>
      <c r="G29" s="95">
        <v>40</v>
      </c>
      <c r="H29" s="25">
        <f ca="1">$C27</f>
        <v>8.6</v>
      </c>
      <c r="I29" s="30" t="s">
        <v>39</v>
      </c>
      <c r="J29" s="41">
        <f>SUM(D29:G29)</f>
        <v>40</v>
      </c>
      <c r="K29" s="42">
        <f ca="1">SUM(H29*J29)</f>
        <v>344</v>
      </c>
    </row>
    <row r="32" spans="1:11" ht="15.75" thickBot="1">
      <c r="A32" s="27">
        <v>1</v>
      </c>
      <c r="B32" s="27">
        <v>2.1</v>
      </c>
      <c r="C32" s="218">
        <f>A32*B32</f>
        <v>2.1</v>
      </c>
      <c r="D32" s="408" t="s">
        <v>66</v>
      </c>
      <c r="E32" s="409"/>
      <c r="F32" s="409"/>
      <c r="G32" s="409"/>
    </row>
    <row r="33" spans="1:11" ht="15.75" thickBot="1">
      <c r="A33" s="180"/>
      <c r="B33" s="179"/>
      <c r="C33" s="43">
        <f>SUM(C32:C32)</f>
        <v>2.1</v>
      </c>
      <c r="D33" s="408"/>
      <c r="E33" s="409"/>
      <c r="F33" s="409"/>
      <c r="G33" s="409"/>
    </row>
    <row r="34" spans="1:11">
      <c r="D34" s="408"/>
      <c r="E34" s="409"/>
      <c r="F34" s="409"/>
      <c r="G34" s="409"/>
    </row>
    <row r="35" spans="1:11" ht="15" customHeight="1">
      <c r="D35" s="94">
        <v>0</v>
      </c>
      <c r="E35" s="95">
        <v>0</v>
      </c>
      <c r="F35" s="95">
        <v>0</v>
      </c>
      <c r="G35" s="95">
        <v>40</v>
      </c>
      <c r="H35" s="25">
        <f>$C33</f>
        <v>2.1</v>
      </c>
      <c r="I35" s="30" t="s">
        <v>39</v>
      </c>
      <c r="J35" s="41">
        <f>SUM(D35:G35)</f>
        <v>40</v>
      </c>
      <c r="K35" s="42">
        <f>SUM(H35*J35)</f>
        <v>84</v>
      </c>
    </row>
    <row r="38" spans="1:11">
      <c r="A38" s="27">
        <v>2</v>
      </c>
      <c r="B38" s="27">
        <v>2.8</v>
      </c>
      <c r="C38" s="218">
        <f>A38*B38</f>
        <v>5.6</v>
      </c>
      <c r="D38" s="416" t="s">
        <v>67</v>
      </c>
      <c r="E38" s="417"/>
      <c r="F38" s="417"/>
      <c r="G38" s="417"/>
    </row>
    <row r="39" spans="1:11" ht="15.75" thickBot="1">
      <c r="A39" s="25">
        <v>2</v>
      </c>
      <c r="B39" s="25">
        <v>0.6</v>
      </c>
      <c r="C39" s="216">
        <f>A39*B39</f>
        <v>1.2</v>
      </c>
      <c r="D39" s="94">
        <v>0</v>
      </c>
      <c r="E39" s="95">
        <v>0</v>
      </c>
      <c r="F39" s="95">
        <v>0</v>
      </c>
      <c r="G39" s="95">
        <v>45</v>
      </c>
      <c r="H39" s="25">
        <f ca="1">$C40</f>
        <v>6.8</v>
      </c>
      <c r="I39" s="30" t="s">
        <v>39</v>
      </c>
      <c r="J39" s="41">
        <f>SUM(D39:G39)</f>
        <v>45</v>
      </c>
      <c r="K39" s="42">
        <f ca="1">SUM(H39*J39)</f>
        <v>306</v>
      </c>
    </row>
    <row r="40" spans="1:11" ht="15" customHeight="1" thickBot="1">
      <c r="A40" s="180"/>
      <c r="B40" s="179"/>
      <c r="C40" s="121">
        <f ca="1">SUM(C38:(OFFSET(C40,-1,0)))</f>
        <v>6.8</v>
      </c>
    </row>
    <row r="43" spans="1:11" ht="15.75" thickBot="1">
      <c r="C43" s="14"/>
      <c r="D43" s="416" t="s">
        <v>68</v>
      </c>
      <c r="E43" s="417"/>
      <c r="F43" s="417"/>
      <c r="G43" s="417"/>
    </row>
    <row r="44" spans="1:11" ht="15.75" thickBot="1">
      <c r="A44" s="25">
        <v>3</v>
      </c>
      <c r="B44" s="41">
        <v>1</v>
      </c>
      <c r="C44" s="64">
        <f>A44*B44</f>
        <v>3</v>
      </c>
      <c r="D44" s="96">
        <v>0</v>
      </c>
      <c r="E44" s="97">
        <v>0</v>
      </c>
      <c r="F44" s="97">
        <v>0</v>
      </c>
      <c r="G44" s="97">
        <v>35</v>
      </c>
      <c r="H44" s="27">
        <f>$C44</f>
        <v>3</v>
      </c>
      <c r="I44" s="50" t="s">
        <v>44</v>
      </c>
      <c r="J44" s="59">
        <f>SUM(D44:G44)</f>
        <v>35</v>
      </c>
      <c r="K44" s="49">
        <f>J44*H44</f>
        <v>105</v>
      </c>
    </row>
    <row r="47" spans="1:11" ht="15" customHeight="1">
      <c r="E47" s="335"/>
      <c r="F47" s="335"/>
      <c r="G47" s="335"/>
    </row>
    <row r="48" spans="1:11">
      <c r="E48" s="335"/>
      <c r="F48" s="335"/>
      <c r="G48" s="335"/>
    </row>
    <row r="49" spans="2:11">
      <c r="E49" s="335"/>
      <c r="F49" s="335"/>
      <c r="G49" s="335"/>
    </row>
    <row r="50" spans="2:11">
      <c r="E50" s="335"/>
      <c r="F50" s="335"/>
      <c r="G50" s="335"/>
    </row>
    <row r="51" spans="2:11">
      <c r="E51" s="335"/>
      <c r="F51" s="335"/>
      <c r="G51" s="335"/>
    </row>
    <row r="52" spans="2:11" ht="15" customHeight="1">
      <c r="E52" s="335"/>
      <c r="F52" s="335"/>
      <c r="G52" s="335"/>
    </row>
    <row r="54" spans="2:11" ht="15" customHeight="1"/>
    <row r="55" spans="2:11" ht="15" customHeight="1"/>
    <row r="56" spans="2:11" ht="15" customHeight="1">
      <c r="E56" s="335"/>
      <c r="F56" s="335"/>
      <c r="G56" s="335"/>
    </row>
    <row r="57" spans="2:11" ht="15" customHeight="1">
      <c r="E57" s="335"/>
      <c r="F57" s="335"/>
      <c r="G57" s="335"/>
    </row>
    <row r="59" spans="2:11" ht="15" customHeight="1"/>
    <row r="61" spans="2:11" ht="15.75" thickBot="1"/>
    <row r="62" spans="2:11" ht="17.25" thickTop="1" thickBot="1">
      <c r="B62" s="405" t="s">
        <v>36</v>
      </c>
      <c r="C62" s="406"/>
      <c r="D62" s="72">
        <f ca="1">SUMPRODUCT(D1:D61,$H1:$H61)</f>
        <v>0</v>
      </c>
      <c r="E62" s="72">
        <f ca="1">SUMPRODUCT(E1:E61,$H1:$H61)</f>
        <v>0</v>
      </c>
      <c r="F62" s="72">
        <f ca="1">SUMPRODUCT(F1:F61,$H1:$H61)</f>
        <v>0</v>
      </c>
      <c r="G62" s="72">
        <f ca="1">SUMPRODUCT(G1:G61,$H1:$H61)</f>
        <v>9335.5</v>
      </c>
      <c r="H62" s="57">
        <f ca="1">SUM(D62:G62)</f>
        <v>9335.5</v>
      </c>
      <c r="I62" s="54"/>
      <c r="J62" s="199"/>
      <c r="K62" s="56">
        <f ca="1">SUM(K5:K61)</f>
        <v>9335.5</v>
      </c>
    </row>
    <row r="63" spans="2:11">
      <c r="C63" s="14"/>
      <c r="G63" s="17"/>
      <c r="K63" s="58" t="str">
        <f ca="1">IF((H62+J62)=K62,"Correct")</f>
        <v>Correct</v>
      </c>
    </row>
    <row r="64" spans="2:11" ht="15" customHeight="1"/>
    <row r="69" ht="15" customHeight="1"/>
    <row r="101" ht="15" customHeight="1"/>
    <row r="102" ht="15" customHeight="1"/>
    <row r="105" ht="15" customHeight="1"/>
    <row r="112" ht="15" customHeight="1"/>
  </sheetData>
  <sheetProtection sheet="1" objects="1" scenarios="1" selectLockedCells="1" selectUnlockedCells="1"/>
  <mergeCells count="19">
    <mergeCell ref="K2:K3"/>
    <mergeCell ref="A2:A3"/>
    <mergeCell ref="B2:C3"/>
    <mergeCell ref="D2:G2"/>
    <mergeCell ref="H2:H3"/>
    <mergeCell ref="I2:I3"/>
    <mergeCell ref="J2:J3"/>
    <mergeCell ref="C5:C6"/>
    <mergeCell ref="D5:G7"/>
    <mergeCell ref="C7:C8"/>
    <mergeCell ref="D14:G14"/>
    <mergeCell ref="D20:G21"/>
    <mergeCell ref="E8:G8"/>
    <mergeCell ref="C9:C10"/>
    <mergeCell ref="B62:C62"/>
    <mergeCell ref="D26:G28"/>
    <mergeCell ref="D32:G34"/>
    <mergeCell ref="D38:G38"/>
    <mergeCell ref="D43:G43"/>
  </mergeCells>
  <dataValidations count="1">
    <dataValidation type="list" allowBlank="1" showInputMessage="1" showErrorMessage="1" sqref="E8:G8">
      <formula1>PitchedTypes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 Ltd&amp;C&amp;P of &amp;N&amp;R&amp;A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5"/>
  <dimension ref="A1:K194"/>
  <sheetViews>
    <sheetView view="pageLayout" topLeftCell="A34" workbookViewId="0">
      <selection activeCell="F56" sqref="F56"/>
    </sheetView>
  </sheetViews>
  <sheetFormatPr defaultRowHeight="15"/>
  <cols>
    <col min="1" max="1" width="10.5703125" style="29" customWidth="1"/>
    <col min="2" max="2" width="10.5703125" style="13" customWidth="1"/>
    <col min="3" max="3" width="10.5703125" style="45" customWidth="1"/>
    <col min="4" max="4" width="9.28515625" style="9" bestFit="1" customWidth="1"/>
    <col min="5" max="5" width="9.28515625" style="16" customWidth="1"/>
    <col min="6" max="6" width="9.28515625" style="16" bestFit="1" customWidth="1"/>
    <col min="7" max="7" width="9.28515625" style="16" customWidth="1"/>
    <col min="8" max="8" width="10.5703125" style="51" customWidth="1"/>
    <col min="9" max="9" width="5.140625" style="51" customWidth="1"/>
    <col min="10" max="10" width="10.5703125" style="47" customWidth="1"/>
    <col min="11" max="11" width="10.5703125" style="11" customWidth="1"/>
  </cols>
  <sheetData>
    <row r="1" spans="1:11">
      <c r="A1" s="110" t="s">
        <v>468</v>
      </c>
      <c r="B1" s="29"/>
      <c r="D1" s="83"/>
      <c r="E1" s="83"/>
      <c r="F1" s="83"/>
      <c r="G1" s="83"/>
      <c r="H1" s="106"/>
      <c r="I1" s="106"/>
      <c r="J1" s="106"/>
      <c r="K1" s="61"/>
    </row>
    <row r="2" spans="1:11" s="1" customFormat="1">
      <c r="A2" s="421" t="s">
        <v>0</v>
      </c>
      <c r="B2" s="421" t="s">
        <v>1</v>
      </c>
      <c r="C2" s="433"/>
      <c r="D2" s="432" t="s">
        <v>2</v>
      </c>
      <c r="E2" s="425"/>
      <c r="F2" s="425"/>
      <c r="G2" s="433"/>
      <c r="H2" s="423" t="s">
        <v>6</v>
      </c>
      <c r="I2" s="423" t="s">
        <v>7</v>
      </c>
      <c r="J2" s="480" t="s">
        <v>8</v>
      </c>
      <c r="K2" s="434" t="s">
        <v>9</v>
      </c>
    </row>
    <row r="3" spans="1:11" s="6" customFormat="1">
      <c r="A3" s="422"/>
      <c r="B3" s="422"/>
      <c r="C3" s="461"/>
      <c r="D3" s="7" t="s">
        <v>3</v>
      </c>
      <c r="E3" s="40" t="s">
        <v>4</v>
      </c>
      <c r="F3" s="40" t="s">
        <v>5</v>
      </c>
      <c r="G3" s="40" t="s">
        <v>45</v>
      </c>
      <c r="H3" s="424"/>
      <c r="I3" s="424"/>
      <c r="J3" s="481"/>
      <c r="K3" s="435"/>
    </row>
    <row r="4" spans="1:11">
      <c r="A4" s="3"/>
      <c r="B4" s="5"/>
      <c r="C4" s="62"/>
      <c r="D4" s="19"/>
      <c r="E4" s="20"/>
      <c r="F4" s="20"/>
      <c r="G4" s="20"/>
      <c r="H4" s="257"/>
      <c r="I4" s="257"/>
      <c r="J4" s="258"/>
      <c r="K4" s="21"/>
    </row>
    <row r="5" spans="1:11" ht="15" customHeight="1">
      <c r="A5" s="27">
        <v>12</v>
      </c>
      <c r="B5" s="27">
        <v>8.25</v>
      </c>
      <c r="C5" s="85">
        <f>A5*B5</f>
        <v>99</v>
      </c>
      <c r="D5" s="448" t="s">
        <v>234</v>
      </c>
      <c r="E5" s="449"/>
      <c r="F5" s="449"/>
      <c r="G5" s="450"/>
      <c r="H5" s="4"/>
      <c r="I5" s="4"/>
      <c r="J5" s="4"/>
    </row>
    <row r="6" spans="1:11" ht="15" customHeight="1" thickBot="1">
      <c r="A6" s="25">
        <v>10</v>
      </c>
      <c r="B6" s="25">
        <v>4.8</v>
      </c>
      <c r="C6" s="81">
        <f>A6*B6</f>
        <v>48</v>
      </c>
      <c r="D6" s="454"/>
      <c r="E6" s="455"/>
      <c r="F6" s="455"/>
      <c r="G6" s="456"/>
      <c r="H6" s="4"/>
      <c r="I6" s="4"/>
      <c r="J6" s="4"/>
    </row>
    <row r="7" spans="1:11" ht="15" customHeight="1" thickBot="1">
      <c r="A7" s="180"/>
      <c r="B7" s="179"/>
      <c r="C7" s="121">
        <f ca="1">SUM(C5:(OFFSET(C7,-1,0)))</f>
        <v>147</v>
      </c>
      <c r="D7" s="294" t="s">
        <v>728</v>
      </c>
      <c r="E7" s="444" t="str">
        <f>'Material Analysis'!C30</f>
        <v>SwUntreated</v>
      </c>
      <c r="F7" s="445"/>
      <c r="G7" s="446"/>
      <c r="H7" s="4"/>
      <c r="I7" s="4"/>
      <c r="J7" s="4"/>
    </row>
    <row r="8" spans="1:11">
      <c r="A8" s="3"/>
      <c r="B8" s="3"/>
      <c r="C8" s="93"/>
      <c r="D8" s="294" t="s">
        <v>686</v>
      </c>
      <c r="E8" s="444" t="str">
        <f>'Material Analysis'!D30</f>
        <v>50 x 50mm</v>
      </c>
      <c r="F8" s="445"/>
      <c r="G8" s="446"/>
      <c r="H8" s="4"/>
      <c r="I8" s="4"/>
      <c r="J8" s="4"/>
    </row>
    <row r="9" spans="1:11" ht="15" customHeight="1">
      <c r="A9" s="3"/>
      <c r="B9" s="3"/>
      <c r="C9" s="203"/>
      <c r="D9" s="36">
        <f>'Labour Analysis'!$E$88*0.05</f>
        <v>1.75</v>
      </c>
      <c r="E9" s="31">
        <v>0</v>
      </c>
      <c r="F9" s="31">
        <f>'Material Analysis'!I30</f>
        <v>1</v>
      </c>
      <c r="G9" s="31">
        <v>0</v>
      </c>
      <c r="H9" s="25">
        <f ca="1">$C7</f>
        <v>147</v>
      </c>
      <c r="I9" s="30" t="s">
        <v>39</v>
      </c>
      <c r="J9" s="41">
        <f>SUM(D9:G9)</f>
        <v>2.75</v>
      </c>
      <c r="K9" s="42">
        <f ca="1">SUM(H9*J9)</f>
        <v>404.25</v>
      </c>
    </row>
    <row r="10" spans="1:11" ht="15" customHeight="1">
      <c r="A10" s="3"/>
      <c r="B10" s="3"/>
      <c r="C10" s="304"/>
      <c r="H10" s="4"/>
      <c r="I10" s="4"/>
      <c r="J10" s="4"/>
    </row>
    <row r="11" spans="1:11">
      <c r="A11" s="3"/>
      <c r="B11" s="5"/>
      <c r="C11" s="62"/>
      <c r="D11" s="8"/>
      <c r="E11" s="12"/>
      <c r="F11" s="12"/>
      <c r="G11" s="12"/>
      <c r="H11" s="70"/>
      <c r="I11" s="70"/>
      <c r="J11" s="63"/>
      <c r="K11" s="10"/>
    </row>
    <row r="12" spans="1:11">
      <c r="A12" s="27">
        <v>4</v>
      </c>
      <c r="B12" s="27">
        <v>4.2</v>
      </c>
      <c r="C12" s="85">
        <f t="shared" ref="C12:C20" si="0">A12*B12</f>
        <v>16.8</v>
      </c>
      <c r="D12" s="439" t="s">
        <v>779</v>
      </c>
      <c r="E12" s="440"/>
      <c r="F12" s="440"/>
      <c r="G12" s="441"/>
      <c r="H12" s="2"/>
      <c r="I12" s="2"/>
      <c r="J12" s="2"/>
      <c r="K12" s="10"/>
    </row>
    <row r="13" spans="1:11" ht="15" customHeight="1">
      <c r="A13" s="25">
        <v>4</v>
      </c>
      <c r="B13" s="25">
        <v>1.1000000000000001</v>
      </c>
      <c r="C13" s="81">
        <f t="shared" si="0"/>
        <v>4.4000000000000004</v>
      </c>
      <c r="D13" s="302" t="s">
        <v>728</v>
      </c>
      <c r="E13" s="444" t="str">
        <f>'Material Analysis'!C29</f>
        <v>CLS</v>
      </c>
      <c r="F13" s="445"/>
      <c r="G13" s="446"/>
      <c r="H13" s="2"/>
      <c r="I13" s="2"/>
      <c r="J13" s="2"/>
      <c r="K13" s="10"/>
    </row>
    <row r="14" spans="1:11" ht="15.75" customHeight="1">
      <c r="A14" s="25">
        <v>4</v>
      </c>
      <c r="B14" s="25">
        <v>8.25</v>
      </c>
      <c r="C14" s="81">
        <f t="shared" si="0"/>
        <v>33</v>
      </c>
      <c r="D14" s="295" t="s">
        <v>686</v>
      </c>
      <c r="E14" s="445" t="str">
        <f>'Material Analysis'!D29</f>
        <v>50 x 100mm</v>
      </c>
      <c r="F14" s="445"/>
      <c r="G14" s="446"/>
      <c r="H14" s="2"/>
      <c r="I14" s="2"/>
      <c r="J14" s="2"/>
      <c r="K14" s="10"/>
    </row>
    <row r="15" spans="1:11" ht="15" customHeight="1">
      <c r="A15" s="25">
        <v>4</v>
      </c>
      <c r="B15" s="25">
        <v>4.5</v>
      </c>
      <c r="C15" s="81">
        <f t="shared" si="0"/>
        <v>18</v>
      </c>
      <c r="D15" s="36">
        <f>'Labour Analysis'!$E$88*0.08</f>
        <v>2.8000000000000003</v>
      </c>
      <c r="E15" s="31">
        <v>0</v>
      </c>
      <c r="F15" s="31">
        <f>'Material Analysis'!I29</f>
        <v>1.9000000000000001</v>
      </c>
      <c r="G15" s="31">
        <v>0</v>
      </c>
      <c r="H15" s="25">
        <f ca="1">$C21</f>
        <v>361.8</v>
      </c>
      <c r="I15" s="30" t="s">
        <v>39</v>
      </c>
      <c r="J15" s="41">
        <f>SUM(D15:G15)</f>
        <v>4.7</v>
      </c>
      <c r="K15" s="42">
        <f ca="1">SUM(H15*J15)</f>
        <v>1700.46</v>
      </c>
    </row>
    <row r="16" spans="1:11">
      <c r="A16" s="25">
        <v>8</v>
      </c>
      <c r="B16" s="25">
        <v>1.3</v>
      </c>
      <c r="C16" s="216">
        <f t="shared" si="0"/>
        <v>10.4</v>
      </c>
    </row>
    <row r="17" spans="1:11">
      <c r="A17" s="25">
        <v>8</v>
      </c>
      <c r="B17" s="25">
        <v>5.45</v>
      </c>
      <c r="C17" s="216">
        <f t="shared" si="0"/>
        <v>43.6</v>
      </c>
      <c r="E17" s="223"/>
      <c r="F17" s="223"/>
      <c r="G17" s="223"/>
    </row>
    <row r="18" spans="1:11">
      <c r="A18" s="25">
        <v>4</v>
      </c>
      <c r="B18" s="25">
        <v>0.9</v>
      </c>
      <c r="C18" s="216">
        <f t="shared" si="0"/>
        <v>3.6</v>
      </c>
      <c r="E18" s="223"/>
      <c r="F18" s="223"/>
      <c r="G18" s="223"/>
    </row>
    <row r="19" spans="1:11" ht="15" customHeight="1">
      <c r="A19" s="25">
        <v>16</v>
      </c>
      <c r="B19" s="25">
        <v>2.5</v>
      </c>
      <c r="C19" s="216">
        <f t="shared" si="0"/>
        <v>40</v>
      </c>
      <c r="E19" s="223"/>
      <c r="F19" s="223"/>
      <c r="G19" s="223"/>
    </row>
    <row r="20" spans="1:11" ht="15.75" thickBot="1">
      <c r="A20" s="25">
        <v>80</v>
      </c>
      <c r="B20" s="25">
        <v>2.4</v>
      </c>
      <c r="C20" s="216">
        <f t="shared" si="0"/>
        <v>192</v>
      </c>
      <c r="E20" s="223"/>
      <c r="F20" s="223"/>
      <c r="G20" s="223"/>
    </row>
    <row r="21" spans="1:11" ht="15.75" thickBot="1">
      <c r="A21" s="180"/>
      <c r="B21" s="179"/>
      <c r="C21" s="121">
        <f ca="1">SUM(C12:(OFFSET(C21,-1,0)))</f>
        <v>361.8</v>
      </c>
      <c r="E21" s="223"/>
      <c r="F21" s="223"/>
      <c r="G21" s="223"/>
    </row>
    <row r="22" spans="1:11" ht="15" customHeight="1"/>
    <row r="24" spans="1:11" ht="15" customHeight="1">
      <c r="A24" s="27">
        <v>11</v>
      </c>
      <c r="B24" s="27">
        <v>0.2</v>
      </c>
      <c r="C24" s="218">
        <f t="shared" ref="C24:C27" si="1">A24*B24</f>
        <v>2.2000000000000002</v>
      </c>
      <c r="D24" s="439" t="s">
        <v>780</v>
      </c>
      <c r="E24" s="440"/>
      <c r="F24" s="440"/>
      <c r="G24" s="441"/>
      <c r="H24" s="2"/>
      <c r="I24" s="2"/>
      <c r="J24" s="2"/>
      <c r="K24" s="10"/>
    </row>
    <row r="25" spans="1:11">
      <c r="A25" s="25">
        <v>3</v>
      </c>
      <c r="B25" s="25">
        <v>2.5</v>
      </c>
      <c r="C25" s="216">
        <f t="shared" si="1"/>
        <v>7.5</v>
      </c>
      <c r="D25" s="302" t="s">
        <v>728</v>
      </c>
      <c r="E25" s="444" t="str">
        <f>'Material Analysis'!C30</f>
        <v>SwUntreated</v>
      </c>
      <c r="F25" s="445"/>
      <c r="G25" s="446"/>
      <c r="H25" s="2"/>
      <c r="I25" s="2"/>
      <c r="J25" s="2"/>
      <c r="K25" s="10"/>
    </row>
    <row r="26" spans="1:11">
      <c r="A26" s="25">
        <v>5</v>
      </c>
      <c r="B26" s="25">
        <v>2.1</v>
      </c>
      <c r="C26" s="216">
        <f t="shared" si="1"/>
        <v>10.5</v>
      </c>
      <c r="D26" s="295" t="s">
        <v>686</v>
      </c>
      <c r="E26" s="445" t="str">
        <f>'Material Analysis'!D30</f>
        <v>50 x 50mm</v>
      </c>
      <c r="F26" s="445"/>
      <c r="G26" s="446"/>
      <c r="H26" s="2"/>
      <c r="I26" s="2"/>
      <c r="J26" s="2"/>
      <c r="K26" s="10"/>
    </row>
    <row r="27" spans="1:11" ht="15.75" thickBot="1">
      <c r="A27" s="25">
        <v>7</v>
      </c>
      <c r="B27" s="25">
        <v>0.9</v>
      </c>
      <c r="C27" s="216">
        <f t="shared" si="1"/>
        <v>6.3</v>
      </c>
      <c r="D27" s="36">
        <f>'Labour Analysis'!$E$88*0.065</f>
        <v>2.2749999999999999</v>
      </c>
      <c r="E27" s="31">
        <v>0</v>
      </c>
      <c r="F27" s="31">
        <f>'Material Analysis'!I30</f>
        <v>1</v>
      </c>
      <c r="G27" s="31">
        <v>0</v>
      </c>
      <c r="H27" s="25">
        <f ca="1">$C28</f>
        <v>26.5</v>
      </c>
      <c r="I27" s="30" t="s">
        <v>39</v>
      </c>
      <c r="J27" s="41">
        <f>SUM(D27:G27)</f>
        <v>3.2749999999999999</v>
      </c>
      <c r="K27" s="42">
        <f ca="1">SUM(H27*J27)</f>
        <v>86.787499999999994</v>
      </c>
    </row>
    <row r="28" spans="1:11" ht="15.75" thickBot="1">
      <c r="A28" s="180"/>
      <c r="B28" s="179"/>
      <c r="C28" s="121">
        <f ca="1">SUM(C24:(OFFSET(C28,-1,0)))</f>
        <v>26.5</v>
      </c>
      <c r="E28" s="223"/>
      <c r="F28" s="223"/>
      <c r="G28" s="223"/>
    </row>
    <row r="29" spans="1:11">
      <c r="E29" s="223"/>
      <c r="F29" s="223"/>
      <c r="G29" s="223"/>
    </row>
    <row r="30" spans="1:11">
      <c r="E30" s="223"/>
      <c r="F30" s="223"/>
      <c r="G30" s="223"/>
    </row>
    <row r="31" spans="1:11">
      <c r="A31" s="27">
        <v>13</v>
      </c>
      <c r="B31" s="27">
        <v>0.8</v>
      </c>
      <c r="C31" s="85">
        <f>A31*B31</f>
        <v>10.4</v>
      </c>
      <c r="D31" s="439" t="s">
        <v>793</v>
      </c>
      <c r="E31" s="440"/>
      <c r="F31" s="440"/>
      <c r="G31" s="441"/>
    </row>
    <row r="32" spans="1:11" ht="15.75" thickBot="1">
      <c r="A32" s="25">
        <v>26</v>
      </c>
      <c r="B32" s="25">
        <v>2.1</v>
      </c>
      <c r="C32" s="81">
        <f>A32*B32</f>
        <v>54.6</v>
      </c>
      <c r="D32" s="302" t="s">
        <v>728</v>
      </c>
      <c r="E32" s="444" t="str">
        <f>'Material Analysis'!C75</f>
        <v>SW_Lining</v>
      </c>
      <c r="F32" s="445"/>
      <c r="G32" s="446"/>
    </row>
    <row r="33" spans="1:11" ht="15.75" thickBot="1">
      <c r="A33" s="180"/>
      <c r="B33" s="179"/>
      <c r="C33" s="121">
        <f ca="1">SUM(C31:(OFFSET(C33,-1,0)))</f>
        <v>65</v>
      </c>
      <c r="D33" s="295" t="s">
        <v>686</v>
      </c>
      <c r="E33" s="445" t="str">
        <f>'Material Analysis'!D75</f>
        <v>SW - 133 x 33mm</v>
      </c>
      <c r="F33" s="445"/>
      <c r="G33" s="446"/>
    </row>
    <row r="34" spans="1:11">
      <c r="D34" s="36">
        <f>'Labour Analysis'!$E$88*0.1</f>
        <v>3.5</v>
      </c>
      <c r="E34" s="31">
        <v>0</v>
      </c>
      <c r="F34" s="31">
        <f>'Material Analysis'!I75</f>
        <v>3.6749999999999998</v>
      </c>
      <c r="G34" s="31">
        <v>0</v>
      </c>
      <c r="H34" s="25">
        <f ca="1">$C33</f>
        <v>65</v>
      </c>
      <c r="I34" s="30" t="s">
        <v>39</v>
      </c>
      <c r="J34" s="41">
        <f>SUM(D34:G34)</f>
        <v>7.1749999999999998</v>
      </c>
      <c r="K34" s="42">
        <f ca="1">SUM(H34*J34)</f>
        <v>466.375</v>
      </c>
    </row>
    <row r="36" spans="1:11" ht="15" customHeight="1"/>
    <row r="37" spans="1:11" ht="15" customHeight="1">
      <c r="A37" s="27">
        <v>9</v>
      </c>
      <c r="B37" s="27">
        <v>0.8</v>
      </c>
      <c r="C37" s="85">
        <f t="shared" ref="C37:C38" si="2">A37*B37</f>
        <v>7.2</v>
      </c>
      <c r="D37" s="448" t="s">
        <v>794</v>
      </c>
      <c r="E37" s="449"/>
      <c r="F37" s="449"/>
      <c r="G37" s="450"/>
      <c r="H37" s="4"/>
      <c r="I37" s="4"/>
      <c r="J37" s="4"/>
    </row>
    <row r="38" spans="1:11" ht="15" customHeight="1" thickBot="1">
      <c r="A38" s="25">
        <v>7</v>
      </c>
      <c r="B38" s="25">
        <v>1.3</v>
      </c>
      <c r="C38" s="81">
        <f t="shared" si="2"/>
        <v>9.1</v>
      </c>
      <c r="D38" s="302" t="s">
        <v>728</v>
      </c>
      <c r="E38" s="444" t="str">
        <f>'Material Analysis'!C76</f>
        <v>SW_Board</v>
      </c>
      <c r="F38" s="445"/>
      <c r="G38" s="446"/>
      <c r="H38" s="4"/>
      <c r="I38" s="4"/>
      <c r="J38" s="4"/>
    </row>
    <row r="39" spans="1:11" ht="15.75" thickBot="1">
      <c r="A39" s="180"/>
      <c r="B39" s="179"/>
      <c r="C39" s="121">
        <f ca="1">SUM(C37:(OFFSET(C39,-1,0)))</f>
        <v>16.3</v>
      </c>
      <c r="D39" s="295" t="s">
        <v>686</v>
      </c>
      <c r="E39" s="445" t="str">
        <f>'Material Analysis'!D76</f>
        <v>SW - 200 x 25mm</v>
      </c>
      <c r="F39" s="445"/>
      <c r="G39" s="446"/>
      <c r="H39" s="4"/>
      <c r="I39" s="4"/>
      <c r="J39" s="4"/>
    </row>
    <row r="40" spans="1:11">
      <c r="D40" s="36">
        <f>'Labour Analysis'!$E$88*0.215</f>
        <v>7.5249999999999995</v>
      </c>
      <c r="E40" s="31">
        <v>0</v>
      </c>
      <c r="F40" s="31">
        <f>'Material Analysis'!I76</f>
        <v>7.875</v>
      </c>
      <c r="G40" s="31">
        <v>0</v>
      </c>
      <c r="H40" s="25">
        <f ca="1">$C39</f>
        <v>16.3</v>
      </c>
      <c r="I40" s="30" t="s">
        <v>39</v>
      </c>
      <c r="J40" s="41">
        <f>SUM(D40:G40)</f>
        <v>15.399999999999999</v>
      </c>
      <c r="K40" s="42">
        <f ca="1">SUM(H40*J40)</f>
        <v>251.01999999999998</v>
      </c>
    </row>
    <row r="41" spans="1:11">
      <c r="D41" s="8"/>
      <c r="E41" s="337"/>
      <c r="F41" s="337"/>
      <c r="G41" s="337"/>
      <c r="H41" s="5"/>
      <c r="I41" s="70"/>
      <c r="J41" s="65"/>
      <c r="K41" s="10"/>
    </row>
    <row r="42" spans="1:11">
      <c r="D42" s="8"/>
      <c r="E42" s="228"/>
      <c r="F42" s="228"/>
      <c r="G42" s="228"/>
      <c r="H42" s="5"/>
      <c r="I42" s="70"/>
      <c r="J42" s="65"/>
      <c r="K42" s="10"/>
    </row>
    <row r="43" spans="1:11">
      <c r="A43" s="3"/>
      <c r="B43" s="3"/>
      <c r="C43" s="202"/>
      <c r="D43" s="448" t="s">
        <v>800</v>
      </c>
      <c r="E43" s="449"/>
      <c r="F43" s="449"/>
      <c r="G43" s="450"/>
    </row>
    <row r="44" spans="1:11">
      <c r="A44" s="3"/>
      <c r="B44" s="3"/>
      <c r="C44" s="202"/>
      <c r="D44" s="451"/>
      <c r="E44" s="452"/>
      <c r="F44" s="452"/>
      <c r="G44" s="453"/>
    </row>
    <row r="45" spans="1:11">
      <c r="A45" s="3"/>
      <c r="B45" s="3"/>
      <c r="C45" s="202"/>
      <c r="D45" s="302" t="s">
        <v>729</v>
      </c>
      <c r="E45" s="444" t="str">
        <f>'Material Analysis'!C77</f>
        <v>SW_Stairs</v>
      </c>
      <c r="F45" s="445"/>
      <c r="G45" s="446"/>
    </row>
    <row r="46" spans="1:11" ht="15.75" thickBot="1">
      <c r="A46" s="3"/>
      <c r="B46" s="3"/>
      <c r="C46" s="202"/>
      <c r="D46" s="295" t="s">
        <v>686</v>
      </c>
      <c r="E46" s="445">
        <f>'Material Analysis'!D77:E77</f>
        <v>0</v>
      </c>
      <c r="F46" s="445"/>
      <c r="G46" s="446"/>
    </row>
    <row r="47" spans="1:11" ht="15.75" thickBot="1">
      <c r="A47" s="25">
        <v>1</v>
      </c>
      <c r="B47" s="41">
        <v>1</v>
      </c>
      <c r="C47" s="123">
        <f>A47*B47</f>
        <v>1</v>
      </c>
      <c r="D47" s="36">
        <f>'Labour Analysis'!$E$88*8</f>
        <v>280</v>
      </c>
      <c r="E47" s="34">
        <v>0</v>
      </c>
      <c r="F47" s="34">
        <f>'Material Analysis'!I77</f>
        <v>650</v>
      </c>
      <c r="G47" s="34">
        <v>0</v>
      </c>
      <c r="H47" s="27">
        <f>$C47</f>
        <v>1</v>
      </c>
      <c r="I47" s="50" t="s">
        <v>44</v>
      </c>
      <c r="J47" s="59">
        <f>SUM(D47:G47)</f>
        <v>930</v>
      </c>
      <c r="K47" s="49">
        <f>J47*H47</f>
        <v>930</v>
      </c>
    </row>
    <row r="48" spans="1:11">
      <c r="A48" s="3"/>
      <c r="B48" s="3"/>
      <c r="C48" s="93"/>
      <c r="D48" s="190"/>
      <c r="E48" s="191"/>
      <c r="F48" s="191"/>
      <c r="G48" s="192"/>
      <c r="H48" s="13"/>
      <c r="J48" s="46"/>
    </row>
    <row r="49" spans="1:11">
      <c r="A49" s="3"/>
      <c r="B49" s="3"/>
      <c r="C49" s="203"/>
      <c r="E49" s="188"/>
      <c r="F49" s="188"/>
      <c r="G49" s="17"/>
      <c r="H49" s="13"/>
      <c r="J49" s="46"/>
    </row>
    <row r="50" spans="1:11" ht="15" customHeight="1" thickBot="1">
      <c r="A50" s="3"/>
      <c r="B50" s="3"/>
      <c r="C50" s="217"/>
      <c r="D50" s="448" t="s">
        <v>224</v>
      </c>
      <c r="E50" s="449"/>
      <c r="F50" s="449"/>
      <c r="G50" s="450"/>
      <c r="H50" s="5"/>
      <c r="I50" s="70"/>
      <c r="J50" s="2"/>
      <c r="K50" s="10"/>
    </row>
    <row r="51" spans="1:11" ht="15" customHeight="1" thickBot="1">
      <c r="A51" s="27">
        <v>1</v>
      </c>
      <c r="B51" s="59">
        <v>1</v>
      </c>
      <c r="C51" s="349">
        <f>SUM(A51*B51)</f>
        <v>1</v>
      </c>
      <c r="D51" s="36">
        <f>'Labour Analysis'!$E$88*1</f>
        <v>35</v>
      </c>
      <c r="E51" s="34">
        <v>0</v>
      </c>
      <c r="F51" s="34">
        <f>'Material Analysis'!I78</f>
        <v>140</v>
      </c>
      <c r="G51" s="34">
        <v>0</v>
      </c>
      <c r="H51" s="27">
        <f>$C51</f>
        <v>1</v>
      </c>
      <c r="I51" s="27" t="s">
        <v>44</v>
      </c>
      <c r="J51" s="59">
        <f>SUM(D51:G51)</f>
        <v>175</v>
      </c>
      <c r="K51" s="42">
        <f>SUM(H51*J51)</f>
        <v>175</v>
      </c>
    </row>
    <row r="52" spans="1:11">
      <c r="B52" s="29"/>
      <c r="C52" s="75"/>
      <c r="E52" s="223"/>
      <c r="F52" s="223"/>
      <c r="G52" s="223"/>
      <c r="H52" s="4"/>
      <c r="I52" s="4"/>
      <c r="J52" s="4"/>
    </row>
    <row r="53" spans="1:11" ht="15" customHeight="1">
      <c r="B53" s="29"/>
      <c r="C53" s="75"/>
      <c r="E53" s="223"/>
      <c r="F53" s="223"/>
      <c r="G53" s="223"/>
      <c r="H53" s="4"/>
      <c r="I53" s="4"/>
      <c r="J53" s="4"/>
    </row>
    <row r="54" spans="1:11" ht="15.75" thickBot="1">
      <c r="A54" s="3"/>
      <c r="B54" s="3"/>
      <c r="C54" s="333"/>
      <c r="D54" s="448" t="s">
        <v>225</v>
      </c>
      <c r="E54" s="449"/>
      <c r="F54" s="449"/>
      <c r="G54" s="450"/>
      <c r="H54" s="5"/>
      <c r="I54" s="70"/>
      <c r="J54" s="2"/>
      <c r="K54" s="10"/>
    </row>
    <row r="55" spans="1:11" ht="15.75" thickBot="1">
      <c r="A55" s="27">
        <v>1</v>
      </c>
      <c r="B55" s="59">
        <v>1</v>
      </c>
      <c r="C55" s="349">
        <f>SUM(A55*B55)</f>
        <v>1</v>
      </c>
      <c r="D55" s="36">
        <f>'Labour Analysis'!$E$88*0.5</f>
        <v>17.5</v>
      </c>
      <c r="E55" s="34">
        <v>0</v>
      </c>
      <c r="F55" s="34">
        <f>'Material Analysis'!I79</f>
        <v>75</v>
      </c>
      <c r="G55" s="34">
        <v>0</v>
      </c>
      <c r="H55" s="27">
        <f>$C55</f>
        <v>1</v>
      </c>
      <c r="I55" s="27" t="s">
        <v>44</v>
      </c>
      <c r="J55" s="59">
        <f>SUM(D55:G55)</f>
        <v>92.5</v>
      </c>
      <c r="K55" s="42">
        <f>SUM(H55*J55)</f>
        <v>92.5</v>
      </c>
    </row>
    <row r="56" spans="1:11">
      <c r="A56" s="4"/>
      <c r="B56" s="4"/>
      <c r="C56" s="237"/>
      <c r="E56" s="223"/>
      <c r="F56" s="223"/>
      <c r="G56" s="223"/>
      <c r="H56" s="29"/>
      <c r="I56" s="29"/>
      <c r="J56" s="29"/>
      <c r="K56" s="10"/>
    </row>
    <row r="57" spans="1:11">
      <c r="A57" s="4"/>
      <c r="B57" s="4"/>
      <c r="C57" s="52"/>
      <c r="E57" s="223"/>
      <c r="F57" s="223"/>
      <c r="G57" s="223"/>
      <c r="H57" s="29"/>
      <c r="I57" s="29"/>
      <c r="J57" s="29"/>
      <c r="K57" s="10"/>
    </row>
    <row r="58" spans="1:11">
      <c r="A58" s="4"/>
      <c r="B58" s="4"/>
      <c r="C58" s="52"/>
      <c r="E58" s="223"/>
      <c r="F58" s="223"/>
      <c r="G58" s="223"/>
      <c r="H58" s="29"/>
      <c r="I58" s="29"/>
      <c r="J58" s="29"/>
      <c r="K58" s="10"/>
    </row>
    <row r="59" spans="1:11">
      <c r="A59" s="4"/>
      <c r="B59" s="4"/>
      <c r="C59" s="52"/>
      <c r="E59" s="223"/>
      <c r="F59" s="223"/>
      <c r="G59" s="223"/>
      <c r="H59" s="29"/>
      <c r="I59" s="29"/>
      <c r="J59" s="29"/>
      <c r="K59" s="10"/>
    </row>
    <row r="60" spans="1:11">
      <c r="A60" s="4"/>
      <c r="B60" s="4"/>
      <c r="C60" s="52"/>
      <c r="E60" s="223"/>
      <c r="F60" s="223"/>
      <c r="G60" s="223"/>
      <c r="H60" s="29"/>
      <c r="I60" s="29"/>
      <c r="J60" s="29"/>
      <c r="K60" s="10"/>
    </row>
    <row r="61" spans="1:11" ht="15.75" thickBot="1">
      <c r="A61" s="4"/>
      <c r="B61" s="4"/>
      <c r="C61" s="52"/>
      <c r="E61" s="223"/>
      <c r="F61" s="223"/>
      <c r="G61" s="223"/>
      <c r="H61" s="29"/>
      <c r="I61" s="29"/>
      <c r="J61" s="29"/>
      <c r="K61" s="10"/>
    </row>
    <row r="62" spans="1:11" ht="17.25" thickTop="1" thickBot="1">
      <c r="B62" s="405" t="s">
        <v>36</v>
      </c>
      <c r="C62" s="406"/>
      <c r="D62" s="72">
        <f ca="1">SUMPRODUCT(D1:D61,$H1:$H61)</f>
        <v>2013.2349999999999</v>
      </c>
      <c r="E62" s="72">
        <f ca="1">SUMPRODUCT(E1:E61,$H1:$H61)</f>
        <v>0</v>
      </c>
      <c r="F62" s="72">
        <f ca="1">SUMPRODUCT(F1:F61,$H1:$H61)</f>
        <v>2093.1575000000003</v>
      </c>
      <c r="G62" s="72">
        <f ca="1">SUMPRODUCT(G1:G61,$H1:$H61)</f>
        <v>0</v>
      </c>
      <c r="H62" s="57">
        <f ca="1">SUM(D62:G62)</f>
        <v>4106.3924999999999</v>
      </c>
      <c r="I62" s="54"/>
      <c r="J62" s="199"/>
      <c r="K62" s="56">
        <f ca="1">SUM(K5:K61)</f>
        <v>4106.3924999999999</v>
      </c>
    </row>
    <row r="63" spans="1:11">
      <c r="B63" s="29"/>
      <c r="C63" s="14"/>
      <c r="G63" s="17"/>
      <c r="H63" s="4"/>
      <c r="I63" s="4"/>
      <c r="J63" s="4"/>
      <c r="K63" s="58" t="str">
        <f ca="1">IF((H62+J62)=K62,"Correct")</f>
        <v>Correct</v>
      </c>
    </row>
    <row r="67" ht="15" customHeight="1"/>
    <row r="68" ht="15" customHeight="1"/>
    <row r="71" ht="15" customHeight="1"/>
    <row r="73" ht="15" customHeight="1"/>
    <row r="74" ht="15.75" customHeight="1"/>
    <row r="76" ht="15.75" customHeight="1"/>
    <row r="78" ht="15" customHeight="1"/>
    <row r="79" ht="15.75" customHeight="1"/>
    <row r="80" ht="15" customHeight="1"/>
    <row r="84" ht="15.75" customHeight="1"/>
    <row r="85" ht="15" customHeight="1"/>
    <row r="89" ht="15" customHeight="1"/>
    <row r="90" ht="15.75" customHeight="1"/>
    <row r="93" ht="15" customHeight="1"/>
    <row r="94" ht="16.5" customHeight="1"/>
    <row r="95" ht="15.75" customHeight="1"/>
    <row r="99" ht="15" customHeight="1"/>
    <row r="144" ht="15" customHeight="1"/>
    <row r="146" ht="15.75" customHeight="1"/>
    <row r="150" ht="15" customHeight="1"/>
    <row r="194" ht="15" customHeight="1"/>
  </sheetData>
  <sheetProtection sheet="1" objects="1" scenarios="1" selectLockedCells="1" selectUnlockedCells="1"/>
  <mergeCells count="28">
    <mergeCell ref="B2:C3"/>
    <mergeCell ref="A2:A3"/>
    <mergeCell ref="H2:H3"/>
    <mergeCell ref="I2:I3"/>
    <mergeCell ref="J2:J3"/>
    <mergeCell ref="D2:G2"/>
    <mergeCell ref="K2:K3"/>
    <mergeCell ref="D54:G54"/>
    <mergeCell ref="B62:C62"/>
    <mergeCell ref="D50:G50"/>
    <mergeCell ref="D24:G24"/>
    <mergeCell ref="D5:G6"/>
    <mergeCell ref="D12:G12"/>
    <mergeCell ref="E13:G13"/>
    <mergeCell ref="E14:G14"/>
    <mergeCell ref="E25:G25"/>
    <mergeCell ref="E7:G7"/>
    <mergeCell ref="E26:G26"/>
    <mergeCell ref="E8:G8"/>
    <mergeCell ref="E39:G39"/>
    <mergeCell ref="D43:G44"/>
    <mergeCell ref="E45:G45"/>
    <mergeCell ref="E46:G46"/>
    <mergeCell ref="D31:G31"/>
    <mergeCell ref="E32:G32"/>
    <mergeCell ref="E33:G33"/>
    <mergeCell ref="D37:G37"/>
    <mergeCell ref="E38:G38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 Ltd&amp;C&amp;P of &amp;N&amp;R&amp;A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'Material Analysis'!$C$30</xm:f>
          </x14:formula1>
          <xm:sqref>E7:G7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6"/>
  <dimension ref="A1:K276"/>
  <sheetViews>
    <sheetView view="pageLayout" topLeftCell="A85" workbookViewId="0">
      <selection activeCell="B99" sqref="B99"/>
    </sheetView>
  </sheetViews>
  <sheetFormatPr defaultRowHeight="15"/>
  <cols>
    <col min="1" max="1" width="10.5703125" style="29" customWidth="1"/>
    <col min="2" max="2" width="10.5703125" style="13" customWidth="1"/>
    <col min="3" max="3" width="10.5703125" style="45" customWidth="1"/>
    <col min="4" max="4" width="9.28515625" style="9" bestFit="1" customWidth="1"/>
    <col min="5" max="5" width="9.28515625" style="223" customWidth="1"/>
    <col min="6" max="6" width="9.28515625" style="223" bestFit="1" customWidth="1"/>
    <col min="7" max="7" width="9.28515625" style="223" customWidth="1"/>
    <col min="8" max="8" width="10.5703125" style="51" customWidth="1"/>
    <col min="9" max="9" width="5.140625" style="51" customWidth="1"/>
    <col min="10" max="10" width="10.5703125" style="47" customWidth="1"/>
    <col min="11" max="11" width="11.28515625" style="11" bestFit="1" customWidth="1"/>
  </cols>
  <sheetData>
    <row r="1" spans="1:11">
      <c r="A1" s="110" t="s">
        <v>469</v>
      </c>
      <c r="B1" s="29"/>
      <c r="D1" s="219"/>
      <c r="E1" s="219"/>
      <c r="F1" s="219"/>
      <c r="G1" s="219"/>
      <c r="H1" s="106"/>
      <c r="I1" s="106"/>
      <c r="J1" s="106"/>
      <c r="K1" s="61"/>
    </row>
    <row r="2" spans="1:11" s="1" customFormat="1">
      <c r="A2" s="421" t="s">
        <v>0</v>
      </c>
      <c r="B2" s="421" t="s">
        <v>1</v>
      </c>
      <c r="C2" s="433"/>
      <c r="D2" s="432" t="s">
        <v>2</v>
      </c>
      <c r="E2" s="425"/>
      <c r="F2" s="425"/>
      <c r="G2" s="433"/>
      <c r="H2" s="423" t="s">
        <v>6</v>
      </c>
      <c r="I2" s="423" t="s">
        <v>7</v>
      </c>
      <c r="J2" s="480" t="s">
        <v>8</v>
      </c>
      <c r="K2" s="434" t="s">
        <v>9</v>
      </c>
    </row>
    <row r="3" spans="1:11" s="6" customFormat="1">
      <c r="A3" s="422"/>
      <c r="B3" s="422"/>
      <c r="C3" s="461"/>
      <c r="D3" s="7" t="s">
        <v>3</v>
      </c>
      <c r="E3" s="220" t="s">
        <v>4</v>
      </c>
      <c r="F3" s="220" t="s">
        <v>5</v>
      </c>
      <c r="G3" s="220" t="s">
        <v>45</v>
      </c>
      <c r="H3" s="424"/>
      <c r="I3" s="424"/>
      <c r="J3" s="481"/>
      <c r="K3" s="435"/>
    </row>
    <row r="4" spans="1:11">
      <c r="A4" s="3"/>
      <c r="B4" s="5"/>
      <c r="C4" s="62"/>
      <c r="D4" s="8"/>
      <c r="E4" s="228"/>
      <c r="F4" s="228"/>
      <c r="G4" s="228"/>
      <c r="H4" s="70"/>
      <c r="I4" s="70"/>
      <c r="J4" s="63"/>
      <c r="K4" s="10"/>
    </row>
    <row r="5" spans="1:11" ht="15" customHeight="1">
      <c r="A5" s="41">
        <v>1</v>
      </c>
      <c r="B5" s="41">
        <v>8.25</v>
      </c>
      <c r="C5" s="447">
        <f>A5*(B5*B6)</f>
        <v>44.962499999999999</v>
      </c>
      <c r="D5" s="448" t="s">
        <v>69</v>
      </c>
      <c r="E5" s="449"/>
      <c r="F5" s="449"/>
      <c r="G5" s="450"/>
      <c r="H5" s="4"/>
      <c r="I5" s="4"/>
      <c r="J5" s="4"/>
    </row>
    <row r="6" spans="1:11" ht="15" customHeight="1">
      <c r="A6" s="41"/>
      <c r="B6" s="41">
        <v>5.45</v>
      </c>
      <c r="C6" s="447"/>
      <c r="D6" s="39">
        <v>0</v>
      </c>
      <c r="E6" s="34">
        <v>0</v>
      </c>
      <c r="F6" s="34">
        <v>0</v>
      </c>
      <c r="G6" s="34">
        <v>6</v>
      </c>
      <c r="H6" s="27">
        <f ca="1">$C11</f>
        <v>76.087500000000006</v>
      </c>
      <c r="I6" s="30" t="s">
        <v>13</v>
      </c>
      <c r="J6" s="41">
        <f>SUM(D6:G6)</f>
        <v>6</v>
      </c>
      <c r="K6" s="42">
        <f ca="1">SUM(H6*J6)</f>
        <v>456.52500000000003</v>
      </c>
    </row>
    <row r="7" spans="1:11">
      <c r="A7" s="41">
        <v>1</v>
      </c>
      <c r="B7" s="41">
        <v>4.5</v>
      </c>
      <c r="C7" s="447">
        <f>A7*(B7*B8)</f>
        <v>22.05</v>
      </c>
      <c r="G7" s="17"/>
      <c r="H7" s="4"/>
      <c r="I7" s="4"/>
      <c r="J7" s="4"/>
    </row>
    <row r="8" spans="1:11">
      <c r="A8" s="41"/>
      <c r="B8" s="41">
        <v>4.9000000000000004</v>
      </c>
      <c r="C8" s="427"/>
      <c r="E8" s="470" t="s">
        <v>37</v>
      </c>
      <c r="F8" s="470"/>
      <c r="G8" s="17"/>
      <c r="H8" s="4"/>
      <c r="I8" s="4"/>
      <c r="J8" s="4"/>
    </row>
    <row r="9" spans="1:11">
      <c r="A9" s="41">
        <v>1</v>
      </c>
      <c r="B9" s="41">
        <v>2.75</v>
      </c>
      <c r="C9" s="447">
        <f>A9*(B9*B10)</f>
        <v>9.0749999999999993</v>
      </c>
      <c r="D9" s="408" t="s">
        <v>70</v>
      </c>
      <c r="E9" s="409"/>
      <c r="F9" s="409"/>
      <c r="G9" s="409"/>
      <c r="H9" s="70"/>
      <c r="I9" s="70"/>
      <c r="J9" s="63"/>
      <c r="K9" s="10"/>
    </row>
    <row r="10" spans="1:11" ht="15" customHeight="1" thickBot="1">
      <c r="A10" s="41"/>
      <c r="B10" s="41">
        <v>3.3</v>
      </c>
      <c r="C10" s="427"/>
      <c r="D10" s="39">
        <v>0</v>
      </c>
      <c r="E10" s="34">
        <v>0</v>
      </c>
      <c r="F10" s="34">
        <v>0</v>
      </c>
      <c r="G10" s="34">
        <v>5.5</v>
      </c>
      <c r="H10" s="27">
        <f ca="1">$C11</f>
        <v>76.087500000000006</v>
      </c>
      <c r="I10" s="30" t="s">
        <v>13</v>
      </c>
      <c r="J10" s="41">
        <f>SUM(D10:G10)</f>
        <v>5.5</v>
      </c>
      <c r="K10" s="42">
        <f ca="1">SUM(H10*J10)</f>
        <v>418.48125000000005</v>
      </c>
    </row>
    <row r="11" spans="1:11" ht="15.75" thickBot="1">
      <c r="B11" s="29"/>
      <c r="C11" s="121">
        <f ca="1">SUM(C5:(OFFSET(C11,-1,0)))</f>
        <v>76.087500000000006</v>
      </c>
      <c r="D11" s="8"/>
      <c r="E11" s="228"/>
      <c r="F11" s="228"/>
      <c r="G11" s="228"/>
      <c r="H11" s="70"/>
      <c r="I11" s="70"/>
      <c r="J11" s="63"/>
      <c r="K11" s="10"/>
    </row>
    <row r="12" spans="1:11">
      <c r="A12" s="3"/>
      <c r="B12" s="5"/>
      <c r="C12" s="62"/>
      <c r="E12" s="470" t="s">
        <v>37</v>
      </c>
      <c r="F12" s="470"/>
    </row>
    <row r="13" spans="1:11">
      <c r="A13" s="3"/>
      <c r="B13" s="5"/>
      <c r="C13" s="62"/>
      <c r="D13" s="482" t="s">
        <v>808</v>
      </c>
      <c r="E13" s="483"/>
      <c r="F13" s="483"/>
      <c r="G13" s="483"/>
      <c r="J13"/>
      <c r="K13" s="71"/>
    </row>
    <row r="14" spans="1:11">
      <c r="A14" s="3"/>
      <c r="B14" s="5"/>
      <c r="C14" s="62"/>
      <c r="D14" s="302" t="s">
        <v>282</v>
      </c>
      <c r="E14" s="444" t="str">
        <f>'Material Analysis'!C43</f>
        <v>Earthwool</v>
      </c>
      <c r="F14" s="445"/>
      <c r="G14" s="446"/>
      <c r="J14"/>
      <c r="K14" s="71"/>
    </row>
    <row r="15" spans="1:11">
      <c r="A15" s="3"/>
      <c r="B15" s="5"/>
      <c r="C15" s="62"/>
      <c r="D15" s="294" t="s">
        <v>728</v>
      </c>
      <c r="E15" s="444" t="str">
        <f>'Material Analysis'!D43</f>
        <v>LoftRoll</v>
      </c>
      <c r="F15" s="445"/>
      <c r="G15" s="446"/>
      <c r="J15"/>
      <c r="K15" s="71"/>
    </row>
    <row r="16" spans="1:11">
      <c r="A16" s="3"/>
      <c r="B16" s="5"/>
      <c r="C16" s="62"/>
      <c r="D16" s="293" t="s">
        <v>686</v>
      </c>
      <c r="E16" s="444" t="str">
        <f>'Material Analysis'!E43</f>
        <v>LR44 - 200mm thick</v>
      </c>
      <c r="F16" s="445"/>
      <c r="G16" s="446"/>
      <c r="J16"/>
      <c r="K16" s="71"/>
    </row>
    <row r="17" spans="1:11" ht="17.25">
      <c r="A17" s="3"/>
      <c r="B17" s="5"/>
      <c r="C17" s="62"/>
      <c r="D17" s="36">
        <f>'Labour Analysis'!$E$88*0.1</f>
        <v>3.5</v>
      </c>
      <c r="E17" s="34">
        <v>0</v>
      </c>
      <c r="F17" s="34">
        <f>'Material Analysis'!I43</f>
        <v>4.2</v>
      </c>
      <c r="G17" s="34">
        <v>0</v>
      </c>
      <c r="H17" s="27">
        <f ca="1">$C11</f>
        <v>76.087500000000006</v>
      </c>
      <c r="I17" s="30" t="s">
        <v>13</v>
      </c>
      <c r="J17" s="41">
        <f>SUM(D17:G17)</f>
        <v>7.7</v>
      </c>
      <c r="K17" s="42">
        <f ca="1">SUM(H17*J17)</f>
        <v>585.87375000000009</v>
      </c>
    </row>
    <row r="18" spans="1:11">
      <c r="A18" s="3"/>
      <c r="B18" s="5"/>
      <c r="C18" s="62"/>
      <c r="D18" s="67"/>
      <c r="E18"/>
      <c r="F18"/>
      <c r="G18"/>
      <c r="J18"/>
      <c r="K18" s="71"/>
    </row>
    <row r="20" spans="1:11">
      <c r="D20" s="482" t="s">
        <v>809</v>
      </c>
      <c r="E20" s="483"/>
      <c r="F20" s="483"/>
      <c r="G20" s="483"/>
      <c r="J20"/>
      <c r="K20" s="71"/>
    </row>
    <row r="21" spans="1:11">
      <c r="D21" s="302" t="s">
        <v>282</v>
      </c>
      <c r="E21" s="444" t="str">
        <f>'Material Analysis'!C44</f>
        <v>Earthwool</v>
      </c>
      <c r="F21" s="445"/>
      <c r="G21" s="446"/>
      <c r="J21"/>
      <c r="K21" s="71"/>
    </row>
    <row r="22" spans="1:11">
      <c r="A22" s="3"/>
      <c r="B22" s="5"/>
      <c r="C22" s="62"/>
      <c r="D22" s="294" t="s">
        <v>728</v>
      </c>
      <c r="E22" s="444" t="str">
        <f>'Material Analysis'!D44</f>
        <v>LoftRoll</v>
      </c>
      <c r="F22" s="445"/>
      <c r="G22" s="446"/>
      <c r="J22"/>
      <c r="K22" s="71"/>
    </row>
    <row r="23" spans="1:11">
      <c r="A23" s="3"/>
      <c r="B23" s="5"/>
      <c r="C23" s="62"/>
      <c r="D23" s="293" t="s">
        <v>686</v>
      </c>
      <c r="E23" s="444" t="str">
        <f>'Material Analysis'!E44</f>
        <v>LR44 - 100mm thick</v>
      </c>
      <c r="F23" s="445"/>
      <c r="G23" s="446"/>
      <c r="J23"/>
      <c r="K23" s="71"/>
    </row>
    <row r="24" spans="1:11" ht="15" customHeight="1">
      <c r="A24" s="3"/>
      <c r="B24" s="5"/>
      <c r="C24" s="62"/>
      <c r="D24" s="36">
        <f>'Labour Analysis'!$E$88*0.1</f>
        <v>3.5</v>
      </c>
      <c r="E24" s="34">
        <v>0</v>
      </c>
      <c r="F24" s="34">
        <f>'Material Analysis'!I44</f>
        <v>2.1</v>
      </c>
      <c r="G24" s="34">
        <v>0</v>
      </c>
      <c r="H24" s="27">
        <f ca="1">$C11</f>
        <v>76.087500000000006</v>
      </c>
      <c r="I24" s="30" t="s">
        <v>13</v>
      </c>
      <c r="J24" s="41">
        <f>SUM(D24:G24)</f>
        <v>5.6</v>
      </c>
      <c r="K24" s="42">
        <f ca="1">SUM(H24*J24)</f>
        <v>426.09000000000003</v>
      </c>
    </row>
    <row r="25" spans="1:11">
      <c r="D25" s="67"/>
      <c r="E25"/>
      <c r="F25"/>
      <c r="G25"/>
      <c r="J25"/>
      <c r="K25" s="71"/>
    </row>
    <row r="26" spans="1:11">
      <c r="E26" s="303"/>
      <c r="F26" s="303"/>
      <c r="G26" s="303"/>
    </row>
    <row r="27" spans="1:11" ht="15" customHeight="1">
      <c r="A27" s="41">
        <v>1</v>
      </c>
      <c r="B27" s="41">
        <v>8.25</v>
      </c>
      <c r="C27" s="484">
        <f>A27*(B27*B28)</f>
        <v>44.962499999999999</v>
      </c>
      <c r="D27" s="448" t="s">
        <v>71</v>
      </c>
      <c r="E27" s="449"/>
      <c r="F27" s="449"/>
      <c r="G27" s="450"/>
      <c r="H27" s="4"/>
      <c r="I27" s="4"/>
      <c r="J27" s="4"/>
    </row>
    <row r="28" spans="1:11">
      <c r="A28" s="41"/>
      <c r="B28" s="41">
        <v>5.45</v>
      </c>
      <c r="C28" s="489"/>
      <c r="D28" s="454"/>
      <c r="E28" s="455"/>
      <c r="F28" s="455"/>
      <c r="G28" s="456"/>
      <c r="H28" s="4"/>
      <c r="I28" s="4"/>
      <c r="J28" s="4"/>
    </row>
    <row r="29" spans="1:11" ht="15" customHeight="1">
      <c r="A29" s="41">
        <v>1</v>
      </c>
      <c r="B29" s="41">
        <v>4.5</v>
      </c>
      <c r="C29" s="447">
        <f>A29*(B29*B30)</f>
        <v>22.05</v>
      </c>
      <c r="D29" s="39">
        <v>0</v>
      </c>
      <c r="E29" s="34">
        <v>0</v>
      </c>
      <c r="F29" s="34">
        <v>0</v>
      </c>
      <c r="G29" s="34">
        <v>7.4</v>
      </c>
      <c r="H29" s="27">
        <f ca="1">$C31</f>
        <v>67.012500000000003</v>
      </c>
      <c r="I29" s="30" t="s">
        <v>13</v>
      </c>
      <c r="J29" s="41">
        <f>SUM(D29:G29)</f>
        <v>7.4</v>
      </c>
      <c r="K29" s="42">
        <f ca="1">SUM(H29*J29)</f>
        <v>495.89250000000004</v>
      </c>
    </row>
    <row r="30" spans="1:11" ht="15.75" thickBot="1">
      <c r="A30" s="41"/>
      <c r="B30" s="41">
        <v>4.9000000000000004</v>
      </c>
      <c r="C30" s="427"/>
      <c r="G30" s="17"/>
      <c r="H30" s="4"/>
      <c r="I30" s="4"/>
      <c r="J30" s="4"/>
    </row>
    <row r="31" spans="1:11" ht="15.75" thickBot="1">
      <c r="B31" s="29"/>
      <c r="C31" s="121">
        <f ca="1">SUM(C27:(OFFSET(C31,-1,0)))</f>
        <v>67.012500000000003</v>
      </c>
      <c r="D31" s="103"/>
      <c r="E31" s="470" t="s">
        <v>37</v>
      </c>
      <c r="F31" s="470"/>
      <c r="G31" s="17"/>
      <c r="H31" s="4"/>
      <c r="I31" s="4"/>
      <c r="J31" s="4"/>
    </row>
    <row r="32" spans="1:11" ht="15" customHeight="1">
      <c r="A32" s="3"/>
      <c r="B32" s="5"/>
      <c r="C32" s="62"/>
      <c r="D32" s="408" t="s">
        <v>70</v>
      </c>
      <c r="E32" s="409"/>
      <c r="F32" s="409"/>
      <c r="G32" s="409"/>
      <c r="H32" s="70"/>
      <c r="I32" s="70"/>
      <c r="J32" s="63"/>
      <c r="K32" s="10"/>
    </row>
    <row r="33" spans="1:11" ht="17.25">
      <c r="A33" s="3"/>
      <c r="B33" s="5"/>
      <c r="C33" s="62"/>
      <c r="D33" s="39">
        <v>0</v>
      </c>
      <c r="E33" s="34">
        <v>0</v>
      </c>
      <c r="F33" s="34">
        <v>0</v>
      </c>
      <c r="G33" s="34">
        <v>5.5</v>
      </c>
      <c r="H33" s="27">
        <f ca="1">$C31</f>
        <v>67.012500000000003</v>
      </c>
      <c r="I33" s="30" t="s">
        <v>13</v>
      </c>
      <c r="J33" s="41">
        <f>SUM(D33:G33)</f>
        <v>5.5</v>
      </c>
      <c r="K33" s="42">
        <f ca="1">SUM(H33*J33)</f>
        <v>368.56875000000002</v>
      </c>
    </row>
    <row r="34" spans="1:11" ht="15" customHeight="1">
      <c r="A34" s="3"/>
      <c r="B34" s="5"/>
      <c r="C34" s="62"/>
      <c r="D34" s="8"/>
      <c r="E34" s="228"/>
      <c r="F34" s="228"/>
      <c r="G34" s="228"/>
      <c r="H34" s="70"/>
      <c r="I34" s="70"/>
      <c r="J34" s="63"/>
      <c r="K34" s="10"/>
    </row>
    <row r="35" spans="1:11">
      <c r="A35" s="3"/>
      <c r="B35" s="5"/>
      <c r="C35" s="62"/>
      <c r="E35" s="470" t="s">
        <v>37</v>
      </c>
      <c r="F35" s="470"/>
    </row>
    <row r="36" spans="1:11" ht="15" customHeight="1">
      <c r="D36" s="482" t="s">
        <v>810</v>
      </c>
      <c r="E36" s="483"/>
      <c r="F36" s="483"/>
      <c r="G36" s="483"/>
      <c r="J36"/>
      <c r="K36" s="71"/>
    </row>
    <row r="37" spans="1:11">
      <c r="D37" s="302" t="s">
        <v>282</v>
      </c>
      <c r="E37" s="444" t="str">
        <f>'Material Analysis'!C47</f>
        <v>Earthwool</v>
      </c>
      <c r="F37" s="445"/>
      <c r="G37" s="446"/>
      <c r="H37" s="70"/>
      <c r="I37" s="70"/>
      <c r="J37" s="63"/>
      <c r="K37" s="10"/>
    </row>
    <row r="38" spans="1:11">
      <c r="D38" s="294" t="s">
        <v>728</v>
      </c>
      <c r="E38" s="444" t="str">
        <f>'Material Analysis'!D47</f>
        <v>AcousticRoll</v>
      </c>
      <c r="F38" s="445"/>
      <c r="G38" s="446"/>
      <c r="H38" s="70"/>
      <c r="I38" s="70"/>
      <c r="J38" s="63"/>
      <c r="K38" s="10"/>
    </row>
    <row r="39" spans="1:11">
      <c r="D39" s="293" t="s">
        <v>686</v>
      </c>
      <c r="E39" s="444" t="str">
        <f>'Material Analysis'!E47</f>
        <v>AR - 100mm thick</v>
      </c>
      <c r="F39" s="445"/>
      <c r="G39" s="446"/>
      <c r="H39" s="70"/>
      <c r="I39" s="70"/>
      <c r="J39" s="63"/>
      <c r="K39" s="10"/>
    </row>
    <row r="40" spans="1:11" ht="15" customHeight="1">
      <c r="A40" s="4"/>
      <c r="B40" s="51"/>
      <c r="C40"/>
      <c r="D40" s="36">
        <f>'Labour Analysis'!$E$88*0.1</f>
        <v>3.5</v>
      </c>
      <c r="E40" s="34">
        <v>0</v>
      </c>
      <c r="F40" s="34">
        <f>'Material Analysis'!I47</f>
        <v>5.8</v>
      </c>
      <c r="G40" s="34">
        <v>0</v>
      </c>
      <c r="H40" s="27">
        <f ca="1">$C31</f>
        <v>67.012500000000003</v>
      </c>
      <c r="I40" s="30" t="s">
        <v>13</v>
      </c>
      <c r="J40" s="41">
        <f>SUM(D40:G40)</f>
        <v>9.3000000000000007</v>
      </c>
      <c r="K40" s="42">
        <f ca="1">SUM(H40*J40)</f>
        <v>623.21625000000006</v>
      </c>
    </row>
    <row r="41" spans="1:11">
      <c r="A41" s="4"/>
      <c r="B41" s="51"/>
      <c r="C41"/>
      <c r="D41" s="67"/>
      <c r="E41"/>
      <c r="F41"/>
      <c r="G41"/>
      <c r="J41"/>
      <c r="K41" s="71"/>
    </row>
    <row r="42" spans="1:11">
      <c r="D42" s="67"/>
      <c r="E42"/>
      <c r="F42"/>
      <c r="G42"/>
      <c r="J42"/>
      <c r="K42" s="71"/>
    </row>
    <row r="43" spans="1:11">
      <c r="A43" s="41">
        <v>0.5</v>
      </c>
      <c r="B43" s="41">
        <v>4.2</v>
      </c>
      <c r="C43" s="447">
        <f>A43*(B43*B44)</f>
        <v>5.25</v>
      </c>
      <c r="D43" s="448" t="s">
        <v>72</v>
      </c>
      <c r="E43" s="449"/>
      <c r="F43" s="449"/>
      <c r="G43" s="450"/>
      <c r="H43" s="4"/>
      <c r="I43" s="4"/>
      <c r="J43" s="4"/>
    </row>
    <row r="44" spans="1:11" ht="15" customHeight="1">
      <c r="A44" s="41"/>
      <c r="B44" s="41">
        <v>2.5</v>
      </c>
      <c r="C44" s="447"/>
      <c r="D44" s="37"/>
      <c r="E44" s="32" t="s">
        <v>211</v>
      </c>
      <c r="F44" s="35" t="s">
        <v>79</v>
      </c>
      <c r="G44" s="34"/>
    </row>
    <row r="45" spans="1:11">
      <c r="A45" s="41">
        <v>1</v>
      </c>
      <c r="B45" s="41">
        <v>1.1000000000000001</v>
      </c>
      <c r="C45" s="484">
        <f>A45*(B45*B46)</f>
        <v>2.75</v>
      </c>
      <c r="D45" s="38"/>
      <c r="E45" s="33">
        <v>2</v>
      </c>
      <c r="F45" s="34">
        <f ca="1">SUM($C61*E45)</f>
        <v>143.85999999999999</v>
      </c>
      <c r="G45" s="34"/>
      <c r="H45" s="4"/>
      <c r="I45" s="4"/>
      <c r="J45" s="4"/>
    </row>
    <row r="46" spans="1:11" ht="17.25">
      <c r="A46" s="41"/>
      <c r="B46" s="41">
        <v>2.5</v>
      </c>
      <c r="C46" s="485"/>
      <c r="D46" s="39">
        <v>0</v>
      </c>
      <c r="E46" s="34">
        <v>0</v>
      </c>
      <c r="F46" s="34">
        <v>0</v>
      </c>
      <c r="G46" s="34">
        <v>6</v>
      </c>
      <c r="H46" s="27">
        <f ca="1">$F45</f>
        <v>143.85999999999999</v>
      </c>
      <c r="I46" s="30" t="s">
        <v>13</v>
      </c>
      <c r="J46" s="41">
        <f>SUM(D46:G46)</f>
        <v>6</v>
      </c>
      <c r="K46" s="42">
        <f ca="1">SUM(H46*J46)</f>
        <v>863.15999999999985</v>
      </c>
    </row>
    <row r="47" spans="1:11" ht="15" customHeight="1">
      <c r="A47" s="41">
        <v>1</v>
      </c>
      <c r="B47" s="41">
        <v>8.25</v>
      </c>
      <c r="C47" s="447">
        <f>A47*(B47*B48)</f>
        <v>19.8</v>
      </c>
      <c r="D47" s="190"/>
      <c r="E47" s="191"/>
      <c r="F47" s="191"/>
      <c r="G47" s="192"/>
      <c r="H47" s="13"/>
      <c r="I47" s="70"/>
      <c r="J47" s="65"/>
      <c r="K47" s="10"/>
    </row>
    <row r="48" spans="1:11" ht="15" customHeight="1">
      <c r="A48" s="41"/>
      <c r="B48" s="41">
        <v>2.4</v>
      </c>
      <c r="C48" s="447"/>
      <c r="D48" s="103"/>
      <c r="E48" s="420" t="s">
        <v>37</v>
      </c>
      <c r="F48" s="420"/>
      <c r="G48" s="193"/>
      <c r="H48" s="13"/>
      <c r="I48" s="70"/>
      <c r="J48" s="65"/>
      <c r="K48" s="10"/>
    </row>
    <row r="49" spans="1:11">
      <c r="A49" s="41">
        <v>2</v>
      </c>
      <c r="B49" s="41">
        <v>5.45</v>
      </c>
      <c r="C49" s="447">
        <f>A49*(B49*B50)</f>
        <v>26.16</v>
      </c>
      <c r="D49" s="408" t="s">
        <v>70</v>
      </c>
      <c r="E49" s="409"/>
      <c r="F49" s="409"/>
      <c r="G49" s="409"/>
      <c r="H49" s="70"/>
      <c r="I49" s="70"/>
      <c r="J49" s="63"/>
      <c r="K49" s="10"/>
    </row>
    <row r="50" spans="1:11">
      <c r="A50" s="41"/>
      <c r="B50" s="41">
        <v>2.4</v>
      </c>
      <c r="C50" s="427"/>
      <c r="D50" s="37"/>
      <c r="E50" s="32" t="s">
        <v>211</v>
      </c>
      <c r="F50" s="35" t="s">
        <v>79</v>
      </c>
      <c r="G50" s="34"/>
    </row>
    <row r="51" spans="1:11">
      <c r="A51" s="41">
        <v>1</v>
      </c>
      <c r="B51" s="41">
        <v>4.5</v>
      </c>
      <c r="C51" s="447">
        <f>A51*(B51*B52)</f>
        <v>11.25</v>
      </c>
      <c r="D51" s="38"/>
      <c r="E51" s="33">
        <v>2</v>
      </c>
      <c r="F51" s="34">
        <f ca="1">SUM($C61*E51)</f>
        <v>143.85999999999999</v>
      </c>
      <c r="G51" s="34"/>
      <c r="H51" s="4"/>
      <c r="I51" s="4"/>
      <c r="J51" s="4"/>
    </row>
    <row r="52" spans="1:11" ht="17.25">
      <c r="A52" s="41"/>
      <c r="B52" s="41">
        <v>2.5</v>
      </c>
      <c r="C52" s="447"/>
      <c r="D52" s="39">
        <v>0</v>
      </c>
      <c r="E52" s="34">
        <v>0</v>
      </c>
      <c r="F52" s="34">
        <v>0</v>
      </c>
      <c r="G52" s="34">
        <v>5.5</v>
      </c>
      <c r="H52" s="27">
        <f ca="1">$F51</f>
        <v>143.85999999999999</v>
      </c>
      <c r="I52" s="30" t="s">
        <v>13</v>
      </c>
      <c r="J52" s="41">
        <f>SUM(D52:G52)</f>
        <v>5.5</v>
      </c>
      <c r="K52" s="42">
        <f ca="1">SUM(H52*J52)</f>
        <v>791.2299999999999</v>
      </c>
    </row>
    <row r="53" spans="1:11">
      <c r="A53" s="41">
        <v>2</v>
      </c>
      <c r="B53" s="41">
        <v>1.3</v>
      </c>
      <c r="C53" s="484">
        <f>A53*(B53*B54)</f>
        <v>6.24</v>
      </c>
      <c r="D53" s="8"/>
      <c r="E53" s="228"/>
      <c r="F53" s="228"/>
      <c r="G53" s="228"/>
      <c r="H53" s="70"/>
      <c r="I53" s="70"/>
      <c r="J53" s="63"/>
      <c r="K53" s="10"/>
    </row>
    <row r="54" spans="1:11">
      <c r="A54" s="41"/>
      <c r="B54" s="41">
        <v>2.4</v>
      </c>
      <c r="C54" s="485"/>
      <c r="E54" s="420" t="s">
        <v>37</v>
      </c>
      <c r="F54" s="420"/>
    </row>
    <row r="55" spans="1:11" ht="15" customHeight="1">
      <c r="A55" s="41">
        <v>1</v>
      </c>
      <c r="B55" s="41">
        <v>0.9</v>
      </c>
      <c r="C55" s="447">
        <f>A55*(B55*B56)</f>
        <v>2.16</v>
      </c>
      <c r="D55" s="486" t="s">
        <v>811</v>
      </c>
      <c r="E55" s="487"/>
      <c r="F55" s="487"/>
      <c r="G55" s="488"/>
      <c r="J55"/>
      <c r="K55" s="71"/>
    </row>
    <row r="56" spans="1:11" ht="15.75" thickBot="1">
      <c r="A56" s="41"/>
      <c r="B56" s="41">
        <v>2.4</v>
      </c>
      <c r="C56" s="447"/>
      <c r="D56" s="302" t="s">
        <v>282</v>
      </c>
      <c r="E56" s="444" t="str">
        <f>'Material Analysis'!C48</f>
        <v>Rockwool</v>
      </c>
      <c r="F56" s="445"/>
      <c r="G56" s="446"/>
      <c r="H56" s="70"/>
      <c r="I56" s="70"/>
      <c r="J56" s="63"/>
      <c r="K56" s="10"/>
    </row>
    <row r="57" spans="1:11" ht="15.75" thickBot="1">
      <c r="A57" s="66"/>
      <c r="B57" s="41" t="s">
        <v>38</v>
      </c>
      <c r="C57" s="284">
        <f ca="1">SUM(C43:(OFFSET(C57,-1,0)))</f>
        <v>73.61</v>
      </c>
      <c r="D57" s="294" t="s">
        <v>728</v>
      </c>
      <c r="E57" s="444" t="str">
        <f>'Material Analysis'!D48</f>
        <v>Flexi</v>
      </c>
      <c r="F57" s="445"/>
      <c r="G57" s="446"/>
      <c r="H57" s="70"/>
      <c r="I57" s="70"/>
      <c r="J57" s="63"/>
      <c r="K57" s="10"/>
    </row>
    <row r="58" spans="1:11">
      <c r="A58" s="66">
        <v>1</v>
      </c>
      <c r="B58" s="41">
        <v>0.8</v>
      </c>
      <c r="C58" s="457">
        <f>A58*(B58*B59)</f>
        <v>1.6800000000000002</v>
      </c>
      <c r="D58" s="293" t="s">
        <v>686</v>
      </c>
      <c r="E58" s="444" t="str">
        <f>'Material Analysis'!E48</f>
        <v>RWF - 50mm thick</v>
      </c>
      <c r="F58" s="445"/>
      <c r="G58" s="446"/>
      <c r="H58" s="70"/>
      <c r="I58" s="70"/>
      <c r="J58" s="63"/>
      <c r="K58" s="10"/>
    </row>
    <row r="59" spans="1:11" ht="15" customHeight="1">
      <c r="A59" s="41"/>
      <c r="B59" s="41">
        <v>2.1</v>
      </c>
      <c r="C59" s="427"/>
      <c r="D59" s="36">
        <f>'Labour Analysis'!$E$88*0.1</f>
        <v>3.5</v>
      </c>
      <c r="E59" s="34">
        <v>0</v>
      </c>
      <c r="F59" s="34">
        <f>'Material Analysis'!I48</f>
        <v>3.2</v>
      </c>
      <c r="G59" s="34">
        <v>0</v>
      </c>
      <c r="H59" s="27">
        <f ca="1">$C61</f>
        <v>71.929999999999993</v>
      </c>
      <c r="I59" s="30" t="s">
        <v>13</v>
      </c>
      <c r="J59" s="41">
        <f>SUM(D59:G59)</f>
        <v>6.7</v>
      </c>
      <c r="K59" s="42">
        <f ca="1">SUM(H59*J59)</f>
        <v>481.93099999999998</v>
      </c>
    </row>
    <row r="60" spans="1:11" ht="15" customHeight="1" thickBot="1">
      <c r="A60" s="4"/>
      <c r="B60" s="4"/>
      <c r="C60" s="283">
        <f ca="1">SUM(C58:(OFFSET(C60,-1,0)))</f>
        <v>1.6800000000000002</v>
      </c>
      <c r="D60" s="8"/>
      <c r="E60" s="335"/>
      <c r="F60" s="335"/>
      <c r="G60" s="335"/>
      <c r="H60" s="13"/>
      <c r="I60" s="70"/>
      <c r="J60" s="65"/>
      <c r="K60" s="10"/>
    </row>
    <row r="61" spans="1:11" ht="15.75" thickBot="1">
      <c r="A61" s="4"/>
      <c r="B61" s="4"/>
      <c r="C61" s="43">
        <f ca="1">$C57-$C60</f>
        <v>71.929999999999993</v>
      </c>
      <c r="D61" s="8"/>
      <c r="E61" s="335"/>
      <c r="F61" s="335"/>
      <c r="G61" s="335"/>
      <c r="H61" s="13"/>
      <c r="I61" s="70"/>
      <c r="J61" s="65"/>
      <c r="K61" s="10"/>
    </row>
    <row r="64" spans="1:11">
      <c r="A64" s="41">
        <v>2</v>
      </c>
      <c r="B64" s="41">
        <v>0.2</v>
      </c>
      <c r="C64" s="447">
        <f>A64*(B64*B65)</f>
        <v>1</v>
      </c>
      <c r="D64" s="448" t="s">
        <v>259</v>
      </c>
      <c r="E64" s="449"/>
      <c r="F64" s="449"/>
      <c r="G64" s="450"/>
      <c r="H64" s="4"/>
      <c r="I64" s="4"/>
      <c r="J64" s="4"/>
    </row>
    <row r="65" spans="1:11">
      <c r="A65" s="41"/>
      <c r="B65" s="41">
        <v>2.5</v>
      </c>
      <c r="C65" s="447"/>
      <c r="D65" s="37"/>
      <c r="E65" s="32" t="s">
        <v>211</v>
      </c>
      <c r="F65" s="35" t="s">
        <v>79</v>
      </c>
      <c r="G65" s="34"/>
    </row>
    <row r="66" spans="1:11">
      <c r="A66" s="41">
        <v>1</v>
      </c>
      <c r="B66" s="41">
        <v>2.1</v>
      </c>
      <c r="C66" s="484">
        <f>A66*(B66*B67)</f>
        <v>0.42000000000000004</v>
      </c>
      <c r="D66" s="38"/>
      <c r="E66" s="33">
        <v>1</v>
      </c>
      <c r="F66" s="34">
        <f ca="1">SUM($C70*E66)</f>
        <v>3.31</v>
      </c>
      <c r="G66" s="34"/>
      <c r="H66" s="4"/>
      <c r="I66" s="4"/>
      <c r="J66" s="4"/>
    </row>
    <row r="67" spans="1:11" ht="15" customHeight="1">
      <c r="A67" s="41"/>
      <c r="B67" s="41">
        <v>0.2</v>
      </c>
      <c r="C67" s="485"/>
      <c r="D67" s="39">
        <v>0</v>
      </c>
      <c r="E67" s="34">
        <v>0</v>
      </c>
      <c r="F67" s="34">
        <v>0</v>
      </c>
      <c r="G67" s="34">
        <v>6</v>
      </c>
      <c r="H67" s="27">
        <f ca="1">$F66</f>
        <v>3.31</v>
      </c>
      <c r="I67" s="30" t="s">
        <v>13</v>
      </c>
      <c r="J67" s="41">
        <f>SUM(D67:G67)</f>
        <v>6</v>
      </c>
      <c r="K67" s="42">
        <f ca="1">SUM(H67*J67)</f>
        <v>19.86</v>
      </c>
    </row>
    <row r="68" spans="1:11" ht="15" customHeight="1">
      <c r="A68" s="41">
        <v>1</v>
      </c>
      <c r="B68" s="41">
        <v>2.1</v>
      </c>
      <c r="C68" s="447">
        <f>A68*(B68*B69)</f>
        <v>1.8900000000000001</v>
      </c>
      <c r="D68" s="190"/>
      <c r="E68" s="191"/>
      <c r="F68" s="191"/>
      <c r="G68" s="192"/>
      <c r="H68" s="13"/>
      <c r="I68" s="70"/>
      <c r="J68" s="65"/>
      <c r="K68" s="10"/>
    </row>
    <row r="69" spans="1:11" ht="15.75" thickBot="1">
      <c r="A69" s="41"/>
      <c r="B69" s="41">
        <v>0.9</v>
      </c>
      <c r="C69" s="447"/>
      <c r="D69" s="103"/>
      <c r="E69" s="420" t="s">
        <v>37</v>
      </c>
      <c r="F69" s="420"/>
      <c r="G69" s="193"/>
      <c r="H69" s="13"/>
      <c r="I69" s="70"/>
      <c r="J69" s="65"/>
      <c r="K69" s="10"/>
    </row>
    <row r="70" spans="1:11" ht="15.75" thickBot="1">
      <c r="A70" s="55"/>
      <c r="B70" s="179"/>
      <c r="C70" s="121">
        <f ca="1">SUM(C64:(OFFSET(C70,-1,0)))</f>
        <v>3.31</v>
      </c>
      <c r="D70" s="408" t="s">
        <v>70</v>
      </c>
      <c r="E70" s="409"/>
      <c r="F70" s="409"/>
      <c r="G70" s="409"/>
      <c r="H70" s="70"/>
      <c r="I70" s="70"/>
      <c r="J70" s="63"/>
      <c r="K70" s="10"/>
    </row>
    <row r="71" spans="1:11" ht="15" customHeight="1">
      <c r="A71" s="3"/>
      <c r="B71" s="3"/>
      <c r="C71" s="235"/>
      <c r="D71" s="37"/>
      <c r="E71" s="32" t="s">
        <v>211</v>
      </c>
      <c r="F71" s="35" t="s">
        <v>79</v>
      </c>
      <c r="G71" s="34"/>
    </row>
    <row r="72" spans="1:11">
      <c r="A72" s="3"/>
      <c r="B72" s="3"/>
      <c r="C72" s="227"/>
      <c r="D72" s="38"/>
      <c r="E72" s="33">
        <v>1</v>
      </c>
      <c r="F72" s="34">
        <f ca="1">SUM($C70*E72)</f>
        <v>3.31</v>
      </c>
      <c r="G72" s="34"/>
      <c r="H72" s="4"/>
      <c r="I72" s="4"/>
      <c r="J72" s="4"/>
    </row>
    <row r="73" spans="1:11" ht="15" customHeight="1">
      <c r="A73" s="3"/>
      <c r="B73" s="3"/>
      <c r="C73" s="336"/>
      <c r="D73" s="39">
        <v>0</v>
      </c>
      <c r="E73" s="34">
        <v>0</v>
      </c>
      <c r="F73" s="34">
        <v>0</v>
      </c>
      <c r="G73" s="34">
        <v>5.5</v>
      </c>
      <c r="H73" s="27">
        <f ca="1">$F72</f>
        <v>3.31</v>
      </c>
      <c r="I73" s="30" t="s">
        <v>13</v>
      </c>
      <c r="J73" s="41">
        <f>SUM(D73:G73)</f>
        <v>5.5</v>
      </c>
      <c r="K73" s="42">
        <f ca="1">SUM(H73*J73)</f>
        <v>18.205000000000002</v>
      </c>
    </row>
    <row r="74" spans="1:11" ht="15.75" customHeight="1">
      <c r="A74" s="3"/>
      <c r="B74" s="3"/>
      <c r="C74" s="336"/>
      <c r="D74" s="8"/>
      <c r="E74" s="228"/>
      <c r="F74" s="228"/>
      <c r="G74" s="228"/>
      <c r="H74" s="70"/>
      <c r="I74" s="70"/>
      <c r="J74" s="63"/>
      <c r="K74" s="10"/>
    </row>
    <row r="75" spans="1:11">
      <c r="A75" s="3"/>
      <c r="B75" s="3"/>
      <c r="C75" s="227"/>
      <c r="E75" s="420" t="s">
        <v>37</v>
      </c>
      <c r="F75" s="420"/>
    </row>
    <row r="76" spans="1:11">
      <c r="A76" s="3"/>
      <c r="B76" s="3"/>
      <c r="C76" s="227"/>
      <c r="D76" s="486" t="s">
        <v>812</v>
      </c>
      <c r="E76" s="487"/>
      <c r="F76" s="487"/>
      <c r="G76" s="488"/>
      <c r="J76"/>
      <c r="K76" s="71"/>
    </row>
    <row r="77" spans="1:11">
      <c r="D77" s="302" t="s">
        <v>282</v>
      </c>
      <c r="E77" s="444" t="str">
        <f>'Material Analysis'!C48</f>
        <v>Rockwool</v>
      </c>
      <c r="F77" s="445"/>
      <c r="G77" s="446"/>
      <c r="H77" s="70"/>
      <c r="I77" s="70"/>
      <c r="J77" s="63"/>
      <c r="K77" s="10"/>
    </row>
    <row r="78" spans="1:11">
      <c r="D78" s="294" t="s">
        <v>728</v>
      </c>
      <c r="E78" s="444" t="str">
        <f>'Material Analysis'!D48</f>
        <v>Flexi</v>
      </c>
      <c r="F78" s="445"/>
      <c r="G78" s="446"/>
      <c r="H78" s="70"/>
      <c r="I78" s="70"/>
      <c r="J78" s="63"/>
      <c r="K78" s="10"/>
    </row>
    <row r="79" spans="1:11" ht="15.75" customHeight="1">
      <c r="D79" s="293" t="s">
        <v>686</v>
      </c>
      <c r="E79" s="444" t="str">
        <f>'Material Analysis'!E48</f>
        <v>RWF - 50mm thick</v>
      </c>
      <c r="F79" s="445"/>
      <c r="G79" s="446"/>
      <c r="H79" s="70"/>
      <c r="I79" s="70"/>
      <c r="J79" s="63"/>
      <c r="K79" s="10"/>
    </row>
    <row r="80" spans="1:11" ht="17.25">
      <c r="B80" s="29"/>
      <c r="C80" s="75"/>
      <c r="D80" s="36">
        <f>'Labour Analysis'!$E$88*0.1</f>
        <v>3.5</v>
      </c>
      <c r="E80" s="34">
        <v>0</v>
      </c>
      <c r="F80" s="34">
        <f>'Material Analysis'!I48</f>
        <v>3.2</v>
      </c>
      <c r="G80" s="34">
        <v>0</v>
      </c>
      <c r="H80" s="27">
        <f ca="1">$C70</f>
        <v>3.31</v>
      </c>
      <c r="I80" s="30" t="s">
        <v>13</v>
      </c>
      <c r="J80" s="41">
        <f>SUM(D80:G80)</f>
        <v>6.7</v>
      </c>
      <c r="K80" s="42">
        <f ca="1">SUM(H80*J80)</f>
        <v>22.177</v>
      </c>
    </row>
    <row r="83" spans="1:11">
      <c r="A83" s="41">
        <v>4</v>
      </c>
      <c r="B83" s="41">
        <v>4.5</v>
      </c>
      <c r="C83" s="447">
        <f>A83*(B83*B84)</f>
        <v>45</v>
      </c>
      <c r="D83" s="416" t="s">
        <v>76</v>
      </c>
      <c r="E83" s="417"/>
      <c r="F83" s="417"/>
      <c r="G83" s="417"/>
    </row>
    <row r="84" spans="1:11" ht="15.75" customHeight="1">
      <c r="A84" s="41"/>
      <c r="B84" s="41">
        <v>2.5</v>
      </c>
      <c r="C84" s="447"/>
      <c r="D84" s="39">
        <v>0</v>
      </c>
      <c r="E84" s="34">
        <v>0</v>
      </c>
      <c r="F84" s="34">
        <v>0</v>
      </c>
      <c r="G84" s="34">
        <v>15</v>
      </c>
      <c r="H84" s="27">
        <f ca="1">$C93</f>
        <v>92.63</v>
      </c>
      <c r="I84" s="30" t="s">
        <v>13</v>
      </c>
      <c r="J84" s="41">
        <f>SUM(D84:G84)</f>
        <v>15</v>
      </c>
      <c r="K84" s="42">
        <f ca="1">SUM(H84*J84)</f>
        <v>1389.4499999999998</v>
      </c>
    </row>
    <row r="85" spans="1:11">
      <c r="A85" s="41">
        <v>4</v>
      </c>
      <c r="B85" s="41">
        <v>5.45</v>
      </c>
      <c r="C85" s="447">
        <f>A85*(B85*B86)</f>
        <v>54.5</v>
      </c>
    </row>
    <row r="86" spans="1:11">
      <c r="A86" s="41"/>
      <c r="B86" s="41">
        <v>2.5</v>
      </c>
      <c r="C86" s="447"/>
    </row>
    <row r="87" spans="1:11" ht="15" customHeight="1">
      <c r="A87" s="41">
        <v>1</v>
      </c>
      <c r="B87" s="41">
        <v>3.3</v>
      </c>
      <c r="C87" s="447">
        <f>A87*(B87*B88)</f>
        <v>8.25</v>
      </c>
    </row>
    <row r="88" spans="1:11" ht="15.75" thickBot="1">
      <c r="A88" s="41"/>
      <c r="B88" s="41">
        <v>2.5</v>
      </c>
      <c r="C88" s="447"/>
    </row>
    <row r="89" spans="1:11" ht="15.75" thickBot="1">
      <c r="A89" s="66"/>
      <c r="B89" s="41" t="s">
        <v>38</v>
      </c>
      <c r="C89" s="284">
        <f ca="1">SUM(C83:(OFFSET(C89,-1,0)))</f>
        <v>107.75</v>
      </c>
    </row>
    <row r="90" spans="1:11">
      <c r="A90" s="66">
        <v>9</v>
      </c>
      <c r="B90" s="41">
        <v>0.8</v>
      </c>
      <c r="C90" s="457">
        <f>A90*(B90*B91)</f>
        <v>15.120000000000001</v>
      </c>
    </row>
    <row r="91" spans="1:11">
      <c r="A91" s="41"/>
      <c r="B91" s="41">
        <v>2.1</v>
      </c>
      <c r="C91" s="447"/>
    </row>
    <row r="92" spans="1:11" ht="15.75" thickBot="1">
      <c r="A92" s="3"/>
      <c r="B92" s="3"/>
      <c r="C92" s="283">
        <f ca="1">SUM(C90:(OFFSET(C92,-1,0)))</f>
        <v>15.120000000000001</v>
      </c>
    </row>
    <row r="93" spans="1:11" ht="15" customHeight="1" thickBot="1">
      <c r="A93" s="3"/>
      <c r="B93" s="3"/>
      <c r="C93" s="43">
        <f ca="1">$C89-$C92</f>
        <v>92.63</v>
      </c>
    </row>
    <row r="96" spans="1:11">
      <c r="A96" s="41">
        <v>4</v>
      </c>
      <c r="B96" s="41">
        <v>8.25</v>
      </c>
      <c r="C96" s="447">
        <f>A96*(B96*B97)</f>
        <v>82.5</v>
      </c>
      <c r="D96" s="416" t="s">
        <v>919</v>
      </c>
      <c r="E96" s="417"/>
      <c r="F96" s="417"/>
      <c r="G96" s="417"/>
    </row>
    <row r="97" spans="1:11">
      <c r="A97" s="41"/>
      <c r="B97" s="41">
        <v>2.5</v>
      </c>
      <c r="C97" s="447"/>
      <c r="D97" s="302" t="s">
        <v>282</v>
      </c>
      <c r="E97" s="444" t="str">
        <f>'Material Analysis'!C49</f>
        <v>Kingspan</v>
      </c>
      <c r="F97" s="445"/>
      <c r="G97" s="446"/>
    </row>
    <row r="98" spans="1:11" ht="15" customHeight="1">
      <c r="A98" s="41">
        <v>4</v>
      </c>
      <c r="B98" s="41">
        <v>10.3</v>
      </c>
      <c r="C98" s="447">
        <f>A98*(B98*B99)</f>
        <v>103</v>
      </c>
      <c r="D98" s="294" t="s">
        <v>728</v>
      </c>
      <c r="E98" s="444" t="str">
        <f>'Material Analysis'!D49</f>
        <v>K_18</v>
      </c>
      <c r="F98" s="445"/>
      <c r="G98" s="446"/>
    </row>
    <row r="99" spans="1:11">
      <c r="A99" s="41"/>
      <c r="B99" s="41">
        <v>2.5</v>
      </c>
      <c r="C99" s="447"/>
      <c r="D99" s="293" t="s">
        <v>686</v>
      </c>
      <c r="E99" s="444" t="str">
        <f>'Material Analysis'!E49</f>
        <v>62.5mm thick</v>
      </c>
      <c r="F99" s="445"/>
      <c r="G99" s="446"/>
    </row>
    <row r="100" spans="1:11" ht="17.25">
      <c r="A100" s="41">
        <v>2</v>
      </c>
      <c r="B100" s="41">
        <v>2.75</v>
      </c>
      <c r="C100" s="447">
        <f>A100*(B100*B101)</f>
        <v>13.75</v>
      </c>
      <c r="D100" s="36">
        <f>'Labour Analysis'!$E$88*0.1</f>
        <v>3.5</v>
      </c>
      <c r="E100" s="34">
        <v>0</v>
      </c>
      <c r="F100" s="34">
        <f>'Material Analysis'!I49</f>
        <v>16.8</v>
      </c>
      <c r="G100" s="34">
        <v>0</v>
      </c>
      <c r="H100" s="27">
        <f ca="1">$C128</f>
        <v>173.42000000000002</v>
      </c>
      <c r="I100" s="30" t="s">
        <v>13</v>
      </c>
      <c r="J100" s="41">
        <f>SUM(D100:G100)</f>
        <v>20.3</v>
      </c>
      <c r="K100" s="42">
        <f ca="1">SUM(H100*J100)</f>
        <v>3520.4260000000004</v>
      </c>
    </row>
    <row r="101" spans="1:11">
      <c r="A101" s="41"/>
      <c r="B101" s="41">
        <v>2.5</v>
      </c>
      <c r="C101" s="447"/>
      <c r="E101" s="316"/>
      <c r="F101" s="316"/>
      <c r="G101" s="316"/>
    </row>
    <row r="102" spans="1:11">
      <c r="A102" s="41">
        <v>1</v>
      </c>
      <c r="B102" s="41">
        <v>3.3</v>
      </c>
      <c r="C102" s="447">
        <f>A102*(B102*B103)</f>
        <v>8.25</v>
      </c>
      <c r="D102" s="103"/>
      <c r="E102" s="420" t="s">
        <v>37</v>
      </c>
      <c r="F102" s="420"/>
      <c r="G102" s="193"/>
      <c r="H102" s="13"/>
      <c r="I102" s="70"/>
      <c r="J102" s="65"/>
      <c r="K102" s="10"/>
    </row>
    <row r="103" spans="1:11" ht="15.75" thickBot="1">
      <c r="A103" s="41"/>
      <c r="B103" s="41">
        <v>2.5</v>
      </c>
      <c r="C103" s="447"/>
      <c r="D103" s="408" t="s">
        <v>70</v>
      </c>
      <c r="E103" s="409"/>
      <c r="F103" s="409"/>
      <c r="G103" s="409"/>
      <c r="H103" s="70"/>
      <c r="I103" s="70"/>
      <c r="J103" s="63"/>
      <c r="K103" s="10"/>
    </row>
    <row r="104" spans="1:11" ht="18" thickBot="1">
      <c r="A104" s="66"/>
      <c r="B104" s="41" t="s">
        <v>38</v>
      </c>
      <c r="C104" s="284">
        <f ca="1">SUM(C96:(OFFSET(C104,-1,0)))</f>
        <v>207.5</v>
      </c>
      <c r="D104" s="39">
        <v>0</v>
      </c>
      <c r="E104" s="34">
        <v>0</v>
      </c>
      <c r="F104" s="34">
        <v>0</v>
      </c>
      <c r="G104" s="34">
        <v>5.5</v>
      </c>
      <c r="H104" s="27">
        <f ca="1">$C128</f>
        <v>173.42000000000002</v>
      </c>
      <c r="I104" s="30" t="s">
        <v>13</v>
      </c>
      <c r="J104" s="41">
        <f>SUM(D104:G104)</f>
        <v>5.5</v>
      </c>
      <c r="K104" s="42">
        <f ca="1">SUM(H104*J104)</f>
        <v>953.81000000000006</v>
      </c>
    </row>
    <row r="105" spans="1:11">
      <c r="A105" s="41">
        <v>2</v>
      </c>
      <c r="B105" s="41">
        <v>1</v>
      </c>
      <c r="C105" s="467">
        <f>A105*(B105*B106)</f>
        <v>4.2</v>
      </c>
      <c r="E105" s="316"/>
      <c r="F105" s="316"/>
      <c r="G105" s="316"/>
    </row>
    <row r="106" spans="1:11">
      <c r="A106" s="41"/>
      <c r="B106" s="41">
        <v>2.1</v>
      </c>
      <c r="C106" s="467"/>
      <c r="E106" s="316"/>
      <c r="F106" s="316"/>
      <c r="G106" s="316"/>
    </row>
    <row r="107" spans="1:11">
      <c r="A107" s="41">
        <v>3</v>
      </c>
      <c r="B107" s="41">
        <v>1.25</v>
      </c>
      <c r="C107" s="447">
        <f>A107*(B107*B108)</f>
        <v>5.0625</v>
      </c>
      <c r="E107" s="316"/>
      <c r="F107" s="316"/>
      <c r="G107" s="316"/>
    </row>
    <row r="108" spans="1:11">
      <c r="A108" s="41"/>
      <c r="B108" s="41">
        <v>1.35</v>
      </c>
      <c r="C108" s="447"/>
      <c r="E108" s="316"/>
      <c r="F108" s="316"/>
      <c r="G108" s="316"/>
    </row>
    <row r="109" spans="1:11">
      <c r="A109" s="41">
        <v>1</v>
      </c>
      <c r="B109" s="41">
        <v>1.25</v>
      </c>
      <c r="C109" s="447">
        <f>A109*(B109*B110)</f>
        <v>1.3125</v>
      </c>
      <c r="E109" s="316"/>
      <c r="F109" s="316"/>
      <c r="G109" s="316"/>
    </row>
    <row r="110" spans="1:11">
      <c r="A110" s="41"/>
      <c r="B110" s="41">
        <v>1.05</v>
      </c>
      <c r="C110" s="447"/>
      <c r="E110" s="316"/>
      <c r="F110" s="316"/>
      <c r="G110" s="316"/>
    </row>
    <row r="111" spans="1:11">
      <c r="A111" s="41">
        <v>3</v>
      </c>
      <c r="B111" s="41">
        <v>1.25</v>
      </c>
      <c r="C111" s="447">
        <f>A111*(B111*B112)</f>
        <v>4.5</v>
      </c>
      <c r="E111" s="316"/>
      <c r="F111" s="316"/>
      <c r="G111" s="316"/>
    </row>
    <row r="112" spans="1:11">
      <c r="A112" s="41"/>
      <c r="B112" s="41">
        <v>1.2</v>
      </c>
      <c r="C112" s="447"/>
      <c r="E112" s="316"/>
      <c r="F112" s="316"/>
      <c r="G112" s="316"/>
    </row>
    <row r="113" spans="1:7">
      <c r="A113" s="41">
        <v>1</v>
      </c>
      <c r="B113" s="41">
        <v>1.8</v>
      </c>
      <c r="C113" s="447">
        <f>A113*(B113*B114)</f>
        <v>3.7800000000000002</v>
      </c>
      <c r="E113" s="316"/>
      <c r="F113" s="316"/>
      <c r="G113" s="316"/>
    </row>
    <row r="114" spans="1:7">
      <c r="A114" s="55"/>
      <c r="B114" s="55">
        <v>2.1</v>
      </c>
      <c r="C114" s="427"/>
      <c r="E114" s="316"/>
      <c r="F114" s="316"/>
      <c r="G114" s="316"/>
    </row>
    <row r="115" spans="1:7">
      <c r="A115" s="41">
        <v>2</v>
      </c>
      <c r="B115" s="41">
        <v>0.7</v>
      </c>
      <c r="C115" s="447">
        <f>A115*(B115*B116)</f>
        <v>1.47</v>
      </c>
      <c r="E115" s="335"/>
      <c r="F115" s="335"/>
      <c r="G115" s="335"/>
    </row>
    <row r="116" spans="1:7">
      <c r="A116" s="55"/>
      <c r="B116" s="55">
        <v>1.05</v>
      </c>
      <c r="C116" s="427"/>
      <c r="E116" s="335"/>
      <c r="F116" s="335"/>
      <c r="G116" s="335"/>
    </row>
    <row r="117" spans="1:7">
      <c r="A117" s="41">
        <v>4</v>
      </c>
      <c r="B117" s="41">
        <v>0.7</v>
      </c>
      <c r="C117" s="447">
        <f>A117*(B117*B118)</f>
        <v>3.78</v>
      </c>
      <c r="E117" s="335"/>
      <c r="F117" s="335"/>
      <c r="G117" s="335"/>
    </row>
    <row r="118" spans="1:7">
      <c r="A118" s="55"/>
      <c r="B118" s="25">
        <v>1.35</v>
      </c>
      <c r="C118" s="427"/>
      <c r="E118" s="335"/>
      <c r="F118" s="335"/>
      <c r="G118" s="335"/>
    </row>
    <row r="119" spans="1:7">
      <c r="A119" s="41">
        <v>2</v>
      </c>
      <c r="B119" s="41">
        <v>0.7</v>
      </c>
      <c r="C119" s="447">
        <f>A119*(B119*B120)</f>
        <v>1.68</v>
      </c>
      <c r="E119" s="335"/>
      <c r="F119" s="335"/>
      <c r="G119" s="335"/>
    </row>
    <row r="120" spans="1:7">
      <c r="A120" s="55"/>
      <c r="B120" s="25">
        <v>1.2</v>
      </c>
      <c r="C120" s="427"/>
      <c r="E120" s="335"/>
      <c r="F120" s="335"/>
      <c r="G120" s="335"/>
    </row>
    <row r="121" spans="1:7">
      <c r="A121" s="41">
        <v>1</v>
      </c>
      <c r="B121" s="41">
        <v>0.7</v>
      </c>
      <c r="C121" s="447">
        <f>A121*(B121*B122)</f>
        <v>0.52499999999999991</v>
      </c>
      <c r="E121" s="335"/>
      <c r="F121" s="335"/>
      <c r="G121" s="335"/>
    </row>
    <row r="122" spans="1:7">
      <c r="A122" s="55"/>
      <c r="B122" s="25">
        <v>0.75</v>
      </c>
      <c r="C122" s="427"/>
      <c r="E122" s="335"/>
      <c r="F122" s="335"/>
      <c r="G122" s="335"/>
    </row>
    <row r="123" spans="1:7">
      <c r="A123" s="41">
        <v>1</v>
      </c>
      <c r="B123" s="41">
        <v>2.9</v>
      </c>
      <c r="C123" s="447">
        <f>A123*(B123*B124)</f>
        <v>6.09</v>
      </c>
      <c r="E123" s="335"/>
      <c r="F123" s="335"/>
      <c r="G123" s="335"/>
    </row>
    <row r="124" spans="1:7">
      <c r="A124" s="55"/>
      <c r="B124" s="25">
        <v>2.1</v>
      </c>
      <c r="C124" s="427"/>
      <c r="E124" s="335"/>
      <c r="F124" s="335"/>
      <c r="G124" s="335"/>
    </row>
    <row r="125" spans="1:7">
      <c r="A125" s="41">
        <v>1</v>
      </c>
      <c r="B125" s="41">
        <v>0.8</v>
      </c>
      <c r="C125" s="447">
        <f>A125*(B125*B126)</f>
        <v>1.6800000000000002</v>
      </c>
      <c r="E125" s="335"/>
      <c r="F125" s="335"/>
      <c r="G125" s="335"/>
    </row>
    <row r="126" spans="1:7">
      <c r="A126" s="41"/>
      <c r="B126" s="41">
        <v>2.1</v>
      </c>
      <c r="C126" s="447"/>
      <c r="E126" s="335"/>
      <c r="F126" s="335"/>
      <c r="G126" s="335"/>
    </row>
    <row r="127" spans="1:7" ht="15.75" thickBot="1">
      <c r="A127" s="3"/>
      <c r="B127" s="3"/>
      <c r="C127" s="283">
        <f ca="1">SUM(C105:(OFFSET(C127,-1,0)))</f>
        <v>34.08</v>
      </c>
      <c r="E127" s="316"/>
      <c r="F127" s="316"/>
      <c r="G127" s="316"/>
    </row>
    <row r="128" spans="1:7" ht="15.75" thickBot="1">
      <c r="A128" s="3"/>
      <c r="B128" s="3"/>
      <c r="C128" s="43">
        <f ca="1">$C104-$C127</f>
        <v>173.42000000000002</v>
      </c>
      <c r="E128" s="316"/>
      <c r="F128" s="316"/>
      <c r="G128" s="316"/>
    </row>
    <row r="129" spans="1:11">
      <c r="E129" s="316"/>
      <c r="F129" s="316"/>
      <c r="G129" s="316"/>
    </row>
    <row r="130" spans="1:11" s="9" customFormat="1">
      <c r="A130" s="29"/>
      <c r="B130" s="13"/>
      <c r="C130" s="45"/>
      <c r="E130" s="316"/>
      <c r="F130" s="316"/>
      <c r="G130" s="316"/>
      <c r="H130" s="51"/>
      <c r="I130" s="51"/>
      <c r="J130" s="47"/>
      <c r="K130" s="11"/>
    </row>
    <row r="131" spans="1:11" s="9" customFormat="1">
      <c r="A131" s="27">
        <v>2</v>
      </c>
      <c r="B131" s="27">
        <v>1</v>
      </c>
      <c r="C131" s="334">
        <f t="shared" ref="C131:C140" si="0">A131*B131</f>
        <v>2</v>
      </c>
      <c r="D131" s="416" t="s">
        <v>77</v>
      </c>
      <c r="E131" s="417"/>
      <c r="F131" s="417"/>
      <c r="G131" s="417"/>
      <c r="H131" s="51"/>
      <c r="I131" s="51"/>
      <c r="J131" s="47"/>
      <c r="K131" s="11"/>
    </row>
    <row r="132" spans="1:11" s="9" customFormat="1">
      <c r="A132" s="25">
        <v>8</v>
      </c>
      <c r="B132" s="25">
        <v>2.1</v>
      </c>
      <c r="C132" s="332">
        <f t="shared" si="0"/>
        <v>16.8</v>
      </c>
      <c r="D132" s="214"/>
      <c r="E132" s="98" t="s">
        <v>78</v>
      </c>
      <c r="F132" s="99" t="s">
        <v>79</v>
      </c>
      <c r="G132" s="215"/>
      <c r="H132" s="51"/>
      <c r="I132" s="51"/>
      <c r="J132" s="47"/>
      <c r="K132" s="11"/>
    </row>
    <row r="133" spans="1:11" s="9" customFormat="1" ht="15" customHeight="1">
      <c r="A133" s="27">
        <v>7</v>
      </c>
      <c r="B133" s="27">
        <v>1.25</v>
      </c>
      <c r="C133" s="334">
        <f t="shared" si="0"/>
        <v>8.75</v>
      </c>
      <c r="D133" s="39"/>
      <c r="E133" s="34">
        <v>200</v>
      </c>
      <c r="F133" s="34">
        <f ca="1">SUM($C141*(E133/1000))</f>
        <v>15.450000000000001</v>
      </c>
      <c r="G133" s="34"/>
      <c r="H133" s="51"/>
      <c r="I133" s="51"/>
      <c r="J133" s="47"/>
      <c r="K133" s="11"/>
    </row>
    <row r="134" spans="1:11" s="9" customFormat="1" ht="17.25">
      <c r="A134" s="25">
        <v>14</v>
      </c>
      <c r="B134" s="25">
        <v>1.35</v>
      </c>
      <c r="C134" s="332">
        <f t="shared" si="0"/>
        <v>18.900000000000002</v>
      </c>
      <c r="D134" s="36">
        <v>0</v>
      </c>
      <c r="E134" s="31">
        <v>0</v>
      </c>
      <c r="F134" s="31">
        <v>0</v>
      </c>
      <c r="G134" s="31">
        <v>25</v>
      </c>
      <c r="H134" s="27">
        <f ca="1">$F133</f>
        <v>15.450000000000001</v>
      </c>
      <c r="I134" s="30" t="s">
        <v>13</v>
      </c>
      <c r="J134" s="41">
        <f>SUM(D134:G134)</f>
        <v>25</v>
      </c>
      <c r="K134" s="42">
        <f ca="1">SUM(H134*J134)</f>
        <v>386.25</v>
      </c>
    </row>
    <row r="135" spans="1:11" s="9" customFormat="1" ht="15.75" customHeight="1">
      <c r="A135" s="27">
        <v>6</v>
      </c>
      <c r="B135" s="27">
        <v>1.05</v>
      </c>
      <c r="C135" s="334">
        <f t="shared" si="0"/>
        <v>6.3000000000000007</v>
      </c>
      <c r="E135" s="223"/>
      <c r="F135" s="223"/>
      <c r="G135" s="223"/>
      <c r="H135" s="51"/>
      <c r="I135" s="51"/>
      <c r="J135" s="47"/>
      <c r="K135" s="11"/>
    </row>
    <row r="136" spans="1:11">
      <c r="A136" s="25">
        <v>10</v>
      </c>
      <c r="B136" s="25">
        <v>1.2</v>
      </c>
      <c r="C136" s="332">
        <f t="shared" si="0"/>
        <v>12</v>
      </c>
      <c r="E136" s="420" t="s">
        <v>37</v>
      </c>
      <c r="F136" s="420"/>
    </row>
    <row r="137" spans="1:11" ht="15.75" customHeight="1">
      <c r="A137" s="27">
        <v>1</v>
      </c>
      <c r="B137" s="27">
        <v>1.8</v>
      </c>
      <c r="C137" s="334">
        <f t="shared" si="0"/>
        <v>1.8</v>
      </c>
      <c r="D137" s="448" t="s">
        <v>80</v>
      </c>
      <c r="E137" s="449"/>
      <c r="F137" s="449"/>
      <c r="G137" s="450"/>
      <c r="H137" s="4"/>
      <c r="I137" s="4"/>
      <c r="J137" s="4"/>
    </row>
    <row r="138" spans="1:11">
      <c r="A138" s="25">
        <v>9</v>
      </c>
      <c r="B138" s="25">
        <v>0.7</v>
      </c>
      <c r="C138" s="332">
        <f t="shared" si="0"/>
        <v>6.3</v>
      </c>
      <c r="D138" s="39">
        <v>0</v>
      </c>
      <c r="E138" s="34">
        <v>0</v>
      </c>
      <c r="F138" s="34">
        <v>0</v>
      </c>
      <c r="G138" s="34">
        <v>5</v>
      </c>
      <c r="H138" s="27">
        <f ca="1">$C141</f>
        <v>77.25</v>
      </c>
      <c r="I138" s="30" t="s">
        <v>39</v>
      </c>
      <c r="J138" s="41">
        <f>SUM(D138:G138)</f>
        <v>5</v>
      </c>
      <c r="K138" s="42">
        <f ca="1">SUM(H138*J138)</f>
        <v>386.25</v>
      </c>
    </row>
    <row r="139" spans="1:11" ht="15" customHeight="1">
      <c r="A139" s="25">
        <v>2</v>
      </c>
      <c r="B139" s="25">
        <v>0.75</v>
      </c>
      <c r="C139" s="332">
        <f t="shared" si="0"/>
        <v>1.5</v>
      </c>
    </row>
    <row r="140" spans="1:11" ht="15.75" thickBot="1">
      <c r="A140" s="25">
        <v>1</v>
      </c>
      <c r="B140" s="25">
        <v>2.9</v>
      </c>
      <c r="C140" s="332">
        <f t="shared" si="0"/>
        <v>2.9</v>
      </c>
      <c r="E140" s="335"/>
      <c r="F140" s="335"/>
      <c r="G140" s="335"/>
    </row>
    <row r="141" spans="1:11" ht="15.75" thickBot="1">
      <c r="A141" s="180"/>
      <c r="B141" s="179"/>
      <c r="C141" s="121">
        <f ca="1">SUM(C131:(OFFSET(C141,-1,0)))</f>
        <v>77.25</v>
      </c>
      <c r="E141" s="335"/>
      <c r="F141" s="335"/>
      <c r="G141" s="335"/>
    </row>
    <row r="142" spans="1:11" ht="15" customHeight="1"/>
    <row r="144" spans="1:11" ht="15" customHeight="1">
      <c r="B144" s="29"/>
      <c r="C144" s="75"/>
      <c r="E144" s="316"/>
      <c r="F144" s="316"/>
      <c r="G144" s="316"/>
      <c r="H144" s="4"/>
      <c r="I144" s="4"/>
      <c r="J144" s="52"/>
    </row>
    <row r="145" spans="2:10">
      <c r="B145" s="29"/>
      <c r="C145" s="75"/>
      <c r="E145" s="316"/>
      <c r="F145" s="316"/>
      <c r="G145" s="316"/>
      <c r="H145" s="4"/>
      <c r="I145" s="4"/>
      <c r="J145" s="52"/>
    </row>
    <row r="146" spans="2:10" ht="15" customHeight="1">
      <c r="B146" s="29"/>
      <c r="C146" s="75"/>
      <c r="E146" s="316"/>
      <c r="F146" s="316"/>
      <c r="G146" s="316"/>
      <c r="H146" s="4"/>
      <c r="I146" s="4"/>
      <c r="J146" s="52"/>
    </row>
    <row r="147" spans="2:10" ht="15" customHeight="1">
      <c r="B147" s="29"/>
      <c r="C147" s="75"/>
      <c r="E147" s="316"/>
      <c r="F147" s="316"/>
      <c r="G147" s="316"/>
      <c r="H147" s="4"/>
      <c r="I147" s="4"/>
      <c r="J147" s="52"/>
    </row>
    <row r="148" spans="2:10">
      <c r="B148" s="29"/>
      <c r="C148" s="75"/>
      <c r="E148" s="316"/>
      <c r="F148" s="316"/>
      <c r="G148" s="316"/>
      <c r="H148" s="4"/>
      <c r="I148" s="4"/>
      <c r="J148" s="52"/>
    </row>
    <row r="149" spans="2:10">
      <c r="B149" s="29"/>
      <c r="C149" s="75"/>
      <c r="E149" s="316"/>
      <c r="F149" s="316"/>
      <c r="G149" s="316"/>
      <c r="H149" s="4"/>
      <c r="I149" s="4"/>
      <c r="J149" s="52"/>
    </row>
    <row r="150" spans="2:10">
      <c r="B150" s="29"/>
      <c r="C150" s="75"/>
      <c r="E150" s="316"/>
      <c r="F150" s="316"/>
      <c r="G150" s="316"/>
      <c r="H150" s="4"/>
      <c r="I150" s="4"/>
      <c r="J150" s="52"/>
    </row>
    <row r="151" spans="2:10" ht="15.75" customHeight="1">
      <c r="B151" s="29"/>
      <c r="C151" s="75"/>
      <c r="E151" s="316"/>
      <c r="F151" s="316"/>
      <c r="G151" s="316"/>
      <c r="H151" s="4"/>
      <c r="I151" s="4"/>
      <c r="J151" s="52"/>
    </row>
    <row r="152" spans="2:10" ht="15" customHeight="1">
      <c r="B152" s="29"/>
      <c r="C152" s="75"/>
      <c r="E152" s="316"/>
      <c r="F152" s="316"/>
      <c r="G152" s="316"/>
      <c r="H152" s="4"/>
      <c r="I152" s="4"/>
      <c r="J152" s="52"/>
    </row>
    <row r="153" spans="2:10">
      <c r="B153" s="29"/>
      <c r="C153" s="75"/>
      <c r="E153" s="316"/>
      <c r="F153" s="316"/>
      <c r="G153" s="316"/>
      <c r="H153" s="4"/>
      <c r="I153" s="4"/>
      <c r="J153" s="52"/>
    </row>
    <row r="154" spans="2:10">
      <c r="B154" s="29"/>
      <c r="C154" s="75"/>
      <c r="E154" s="316"/>
      <c r="F154" s="316"/>
      <c r="G154" s="316"/>
      <c r="H154" s="4"/>
      <c r="I154" s="4"/>
      <c r="J154" s="52"/>
    </row>
    <row r="155" spans="2:10">
      <c r="B155" s="29"/>
      <c r="C155" s="75"/>
      <c r="E155" s="316"/>
      <c r="F155" s="316"/>
      <c r="G155" s="316"/>
      <c r="H155" s="4"/>
      <c r="I155" s="4"/>
      <c r="J155" s="52"/>
    </row>
    <row r="156" spans="2:10" ht="15" customHeight="1">
      <c r="B156" s="29"/>
      <c r="C156" s="75"/>
      <c r="E156" s="316"/>
      <c r="F156" s="316"/>
      <c r="G156" s="316"/>
      <c r="H156" s="4"/>
      <c r="I156" s="4"/>
      <c r="J156" s="52"/>
    </row>
    <row r="157" spans="2:10">
      <c r="B157" s="29"/>
      <c r="C157" s="75"/>
      <c r="E157" s="316"/>
      <c r="F157" s="316"/>
      <c r="G157" s="316"/>
      <c r="H157" s="4"/>
      <c r="I157" s="4"/>
      <c r="J157" s="52"/>
    </row>
    <row r="158" spans="2:10">
      <c r="B158" s="29"/>
      <c r="C158" s="75"/>
      <c r="E158" s="316"/>
      <c r="F158" s="316"/>
      <c r="G158" s="316"/>
      <c r="H158" s="4"/>
      <c r="I158" s="4"/>
      <c r="J158" s="52"/>
    </row>
    <row r="159" spans="2:10">
      <c r="B159" s="29"/>
      <c r="C159" s="75"/>
      <c r="E159" s="316"/>
      <c r="F159" s="316"/>
      <c r="G159" s="316"/>
      <c r="H159" s="4"/>
      <c r="I159" s="4"/>
      <c r="J159" s="52"/>
    </row>
    <row r="160" spans="2:10" ht="15" customHeight="1">
      <c r="B160" s="29"/>
      <c r="C160" s="75"/>
      <c r="E160" s="316"/>
      <c r="F160" s="316"/>
      <c r="G160" s="316"/>
      <c r="H160" s="4"/>
      <c r="I160" s="4"/>
      <c r="J160" s="52"/>
    </row>
    <row r="161" spans="2:10">
      <c r="B161" s="29"/>
      <c r="C161" s="75"/>
      <c r="E161" s="316"/>
      <c r="F161" s="316"/>
      <c r="G161" s="316"/>
      <c r="H161" s="4"/>
      <c r="I161" s="4"/>
      <c r="J161" s="52"/>
    </row>
    <row r="162" spans="2:10">
      <c r="B162" s="29"/>
      <c r="C162" s="75"/>
      <c r="E162" s="316"/>
      <c r="F162" s="316"/>
      <c r="G162" s="316"/>
      <c r="H162" s="4"/>
      <c r="I162" s="4"/>
      <c r="J162" s="52"/>
    </row>
    <row r="163" spans="2:10" ht="15" customHeight="1">
      <c r="B163" s="29"/>
      <c r="C163" s="75"/>
      <c r="E163" s="335"/>
      <c r="F163" s="335"/>
      <c r="G163" s="335"/>
      <c r="H163" s="4"/>
      <c r="I163" s="4"/>
      <c r="J163" s="52"/>
    </row>
    <row r="164" spans="2:10">
      <c r="B164" s="29"/>
      <c r="C164" s="75"/>
      <c r="E164" s="335"/>
      <c r="F164" s="335"/>
      <c r="G164" s="335"/>
      <c r="H164" s="4"/>
      <c r="I164" s="4"/>
      <c r="J164" s="52"/>
    </row>
    <row r="165" spans="2:10">
      <c r="B165" s="29"/>
      <c r="C165" s="75"/>
      <c r="E165" s="335"/>
      <c r="F165" s="335"/>
      <c r="G165" s="335"/>
      <c r="H165" s="4"/>
      <c r="I165" s="4"/>
      <c r="J165" s="52"/>
    </row>
    <row r="166" spans="2:10">
      <c r="B166" s="29"/>
      <c r="C166" s="75"/>
      <c r="E166" s="335"/>
      <c r="F166" s="335"/>
      <c r="G166" s="335"/>
      <c r="H166" s="4"/>
      <c r="I166" s="4"/>
      <c r="J166" s="52"/>
    </row>
    <row r="167" spans="2:10" ht="15" customHeight="1">
      <c r="B167" s="29"/>
      <c r="C167" s="75"/>
      <c r="E167" s="335"/>
      <c r="F167" s="335"/>
      <c r="G167" s="335"/>
      <c r="H167" s="4"/>
      <c r="I167" s="4"/>
      <c r="J167" s="52"/>
    </row>
    <row r="168" spans="2:10" ht="15.75" customHeight="1">
      <c r="B168" s="29"/>
      <c r="C168" s="75"/>
      <c r="E168" s="335"/>
      <c r="F168" s="335"/>
      <c r="G168" s="335"/>
      <c r="H168" s="4"/>
      <c r="I168" s="4"/>
      <c r="J168" s="52"/>
    </row>
    <row r="169" spans="2:10">
      <c r="B169" s="29"/>
      <c r="C169" s="75"/>
      <c r="E169" s="335"/>
      <c r="F169" s="335"/>
      <c r="G169" s="335"/>
      <c r="H169" s="4"/>
      <c r="I169" s="4"/>
      <c r="J169" s="52"/>
    </row>
    <row r="170" spans="2:10">
      <c r="B170" s="29"/>
      <c r="C170" s="75"/>
      <c r="E170" s="335"/>
      <c r="F170" s="335"/>
      <c r="G170" s="335"/>
      <c r="H170" s="4"/>
      <c r="I170" s="4"/>
      <c r="J170" s="52"/>
    </row>
    <row r="171" spans="2:10" ht="15" customHeight="1">
      <c r="B171" s="29"/>
      <c r="C171" s="75"/>
      <c r="E171" s="335"/>
      <c r="F171" s="335"/>
      <c r="G171" s="335"/>
      <c r="H171" s="4"/>
      <c r="I171" s="4"/>
      <c r="J171" s="52"/>
    </row>
    <row r="172" spans="2:10" ht="15" customHeight="1">
      <c r="B172" s="29"/>
      <c r="C172" s="75"/>
      <c r="E172" s="335"/>
      <c r="F172" s="335"/>
      <c r="G172" s="335"/>
      <c r="H172" s="4"/>
      <c r="I172" s="4"/>
      <c r="J172" s="52"/>
    </row>
    <row r="173" spans="2:10" ht="15" customHeight="1">
      <c r="B173" s="29"/>
      <c r="C173" s="75"/>
      <c r="E173" s="335"/>
      <c r="F173" s="335"/>
      <c r="G173" s="335"/>
      <c r="H173" s="4"/>
      <c r="I173" s="4"/>
      <c r="J173" s="52"/>
    </row>
    <row r="174" spans="2:10" ht="15" customHeight="1">
      <c r="B174" s="29"/>
      <c r="C174" s="75"/>
      <c r="E174" s="316"/>
      <c r="F174" s="316"/>
      <c r="G174" s="316"/>
      <c r="H174" s="4"/>
      <c r="I174" s="4"/>
      <c r="J174" s="52"/>
    </row>
    <row r="175" spans="2:10" ht="15" customHeight="1">
      <c r="B175" s="29"/>
      <c r="C175" s="75"/>
      <c r="E175" s="316"/>
      <c r="F175" s="316"/>
      <c r="G175" s="316"/>
      <c r="H175" s="4"/>
      <c r="I175" s="4"/>
      <c r="J175" s="52"/>
    </row>
    <row r="176" spans="2:10" ht="15" customHeight="1">
      <c r="B176" s="29"/>
      <c r="C176" s="75"/>
      <c r="E176" s="316"/>
      <c r="F176" s="316"/>
      <c r="G176" s="316"/>
      <c r="H176" s="4"/>
      <c r="I176" s="4"/>
      <c r="J176" s="52"/>
    </row>
    <row r="177" spans="2:11" ht="15" customHeight="1">
      <c r="B177" s="29"/>
      <c r="C177" s="75"/>
      <c r="E177" s="335"/>
      <c r="F177" s="335"/>
      <c r="G177" s="335"/>
      <c r="H177" s="4"/>
      <c r="I177" s="4"/>
      <c r="J177" s="52"/>
    </row>
    <row r="178" spans="2:11">
      <c r="B178" s="29"/>
      <c r="C178" s="75"/>
      <c r="E178" s="335"/>
      <c r="F178" s="335"/>
      <c r="G178" s="335"/>
      <c r="H178" s="4"/>
      <c r="I178" s="4"/>
      <c r="J178" s="52"/>
    </row>
    <row r="179" spans="2:11">
      <c r="B179" s="29"/>
      <c r="C179" s="75"/>
      <c r="E179" s="316"/>
      <c r="F179" s="316"/>
      <c r="G179" s="316"/>
      <c r="H179" s="4"/>
      <c r="I179" s="4"/>
      <c r="J179" s="52"/>
    </row>
    <row r="180" spans="2:11">
      <c r="B180" s="29"/>
      <c r="C180" s="75"/>
      <c r="E180" s="316"/>
      <c r="F180" s="316"/>
      <c r="G180" s="316"/>
      <c r="H180" s="4"/>
      <c r="I180" s="4"/>
      <c r="J180" s="52"/>
    </row>
    <row r="181" spans="2:11">
      <c r="B181" s="29"/>
      <c r="C181" s="75"/>
      <c r="E181" s="316"/>
      <c r="F181" s="316"/>
      <c r="G181" s="316"/>
      <c r="H181" s="4"/>
      <c r="I181" s="4"/>
      <c r="J181" s="52"/>
    </row>
    <row r="182" spans="2:11">
      <c r="B182" s="29"/>
      <c r="C182" s="75"/>
      <c r="E182" s="316"/>
      <c r="F182" s="316"/>
      <c r="G182" s="316"/>
      <c r="H182" s="4"/>
      <c r="I182" s="4"/>
      <c r="J182" s="52"/>
    </row>
    <row r="183" spans="2:11">
      <c r="B183" s="29"/>
      <c r="C183" s="75"/>
      <c r="E183" s="316"/>
      <c r="F183" s="316"/>
      <c r="G183" s="316"/>
      <c r="H183" s="4"/>
      <c r="I183" s="4"/>
      <c r="J183" s="52"/>
    </row>
    <row r="184" spans="2:11">
      <c r="B184" s="29"/>
      <c r="C184" s="75"/>
      <c r="E184" s="316"/>
      <c r="F184" s="316"/>
      <c r="G184" s="316"/>
      <c r="H184" s="4"/>
      <c r="I184" s="4"/>
      <c r="J184" s="52"/>
    </row>
    <row r="185" spans="2:11">
      <c r="B185" s="29"/>
      <c r="C185" s="75"/>
      <c r="E185" s="316"/>
      <c r="F185" s="316"/>
      <c r="G185" s="316"/>
      <c r="H185" s="4"/>
      <c r="I185" s="4"/>
      <c r="J185" s="52"/>
    </row>
    <row r="186" spans="2:11">
      <c r="B186" s="29"/>
      <c r="C186" s="75"/>
      <c r="E186" s="316"/>
      <c r="F186" s="316"/>
      <c r="G186" s="316"/>
      <c r="H186" s="4"/>
      <c r="I186" s="4"/>
      <c r="J186" s="52"/>
    </row>
    <row r="187" spans="2:11">
      <c r="B187" s="29"/>
      <c r="C187" s="75"/>
      <c r="E187" s="316"/>
      <c r="F187" s="316"/>
      <c r="G187" s="316"/>
      <c r="H187" s="4"/>
      <c r="I187" s="4"/>
      <c r="J187" s="52"/>
    </row>
    <row r="188" spans="2:11" ht="15.75" thickBot="1">
      <c r="B188" s="29"/>
      <c r="C188" s="306"/>
      <c r="E188" s="316"/>
      <c r="F188" s="316"/>
      <c r="G188" s="316"/>
      <c r="H188" s="4"/>
      <c r="I188" s="4"/>
      <c r="J188" s="52"/>
    </row>
    <row r="189" spans="2:11" ht="17.25" thickTop="1" thickBot="1">
      <c r="B189" s="405" t="s">
        <v>36</v>
      </c>
      <c r="C189" s="406"/>
      <c r="D189" s="72">
        <f ca="1">SUMPRODUCT(D1:D188,$H1:$H188)</f>
        <v>1637.4662500000002</v>
      </c>
      <c r="E189" s="72">
        <f ca="1">SUMPRODUCT(E1:E188,$H1:$H188)</f>
        <v>0</v>
      </c>
      <c r="F189" s="72">
        <f ca="1">SUMPRODUCT(F1:F188,$H1:$H188)</f>
        <v>4022.2477500000005</v>
      </c>
      <c r="G189" s="72">
        <f ca="1">SUMPRODUCT(G1:G188,$H1:$H188)</f>
        <v>6547.6824999999999</v>
      </c>
      <c r="H189" s="57">
        <f ca="1">SUM(D189:G189)</f>
        <v>12207.396500000001</v>
      </c>
      <c r="I189" s="54"/>
      <c r="J189" s="199"/>
      <c r="K189" s="56">
        <f ca="1">SUM(K4:K188)</f>
        <v>12207.396499999997</v>
      </c>
    </row>
    <row r="190" spans="2:11">
      <c r="B190" s="29"/>
      <c r="C190" s="14"/>
      <c r="G190" s="17"/>
      <c r="H190" s="4"/>
      <c r="I190" s="4"/>
      <c r="J190" s="4"/>
      <c r="K190" s="58" t="str">
        <f ca="1">IF((H189+J189)=K189,"Correct")</f>
        <v>Correct</v>
      </c>
    </row>
    <row r="193" ht="15" customHeight="1"/>
    <row r="203" ht="15" customHeight="1"/>
    <row r="208" ht="15.75" customHeight="1"/>
    <row r="212" ht="15" customHeight="1"/>
    <row r="217" ht="15" customHeight="1"/>
    <row r="222" ht="15.75" customHeight="1"/>
    <row r="225" ht="15" customHeight="1"/>
    <row r="245" spans="1:11" s="51" customFormat="1">
      <c r="A245" s="29"/>
      <c r="B245" s="13"/>
      <c r="C245" s="45"/>
      <c r="D245" s="9"/>
      <c r="E245" s="223"/>
      <c r="F245" s="223"/>
      <c r="G245" s="223"/>
      <c r="J245" s="47"/>
      <c r="K245" s="11"/>
    </row>
    <row r="246" spans="1:11" s="51" customFormat="1">
      <c r="A246" s="29"/>
      <c r="B246" s="13"/>
      <c r="C246" s="45"/>
      <c r="D246" s="9"/>
      <c r="E246" s="223"/>
      <c r="F246" s="223"/>
      <c r="G246" s="223"/>
      <c r="J246" s="47"/>
      <c r="K246" s="11"/>
    </row>
    <row r="247" spans="1:11" s="51" customFormat="1">
      <c r="A247" s="29"/>
      <c r="B247" s="13"/>
      <c r="C247" s="45"/>
      <c r="D247" s="9"/>
      <c r="E247" s="223"/>
      <c r="F247" s="223"/>
      <c r="G247" s="223"/>
      <c r="J247" s="47"/>
      <c r="K247" s="11"/>
    </row>
    <row r="248" spans="1:11" s="51" customFormat="1">
      <c r="A248" s="29"/>
      <c r="B248" s="13"/>
      <c r="C248" s="45"/>
      <c r="D248" s="9"/>
      <c r="E248" s="223"/>
      <c r="F248" s="223"/>
      <c r="G248" s="223"/>
      <c r="J248" s="47"/>
      <c r="K248" s="11"/>
    </row>
    <row r="249" spans="1:11" s="51" customFormat="1">
      <c r="A249" s="29"/>
      <c r="B249" s="13"/>
      <c r="C249" s="45"/>
      <c r="D249" s="9"/>
      <c r="E249" s="223"/>
      <c r="F249" s="223"/>
      <c r="G249" s="223"/>
      <c r="J249" s="47"/>
      <c r="K249" s="11"/>
    </row>
    <row r="250" spans="1:11" s="51" customFormat="1">
      <c r="A250" s="29"/>
      <c r="B250" s="13"/>
      <c r="C250" s="45"/>
      <c r="D250" s="9"/>
      <c r="E250" s="223"/>
      <c r="F250" s="223"/>
      <c r="G250" s="223"/>
      <c r="J250" s="47"/>
      <c r="K250" s="11"/>
    </row>
    <row r="251" spans="1:11" s="51" customFormat="1">
      <c r="A251" s="29"/>
      <c r="B251" s="13"/>
      <c r="C251" s="45"/>
      <c r="D251" s="9"/>
      <c r="E251" s="223"/>
      <c r="F251" s="223"/>
      <c r="G251" s="223"/>
      <c r="J251" s="47"/>
      <c r="K251" s="11"/>
    </row>
    <row r="252" spans="1:11" s="51" customFormat="1">
      <c r="A252" s="29"/>
      <c r="B252" s="13"/>
      <c r="C252" s="45"/>
      <c r="D252" s="9"/>
      <c r="E252" s="223"/>
      <c r="F252" s="223"/>
      <c r="G252" s="223"/>
      <c r="J252" s="47"/>
      <c r="K252" s="11"/>
    </row>
    <row r="253" spans="1:11" s="51" customFormat="1">
      <c r="A253" s="29"/>
      <c r="B253" s="13"/>
      <c r="C253" s="45"/>
      <c r="D253" s="9"/>
      <c r="E253" s="223"/>
      <c r="F253" s="223"/>
      <c r="G253" s="223"/>
      <c r="J253" s="47"/>
      <c r="K253" s="11"/>
    </row>
    <row r="254" spans="1:11" s="51" customFormat="1">
      <c r="A254" s="29"/>
      <c r="B254" s="13"/>
      <c r="C254" s="45"/>
      <c r="D254" s="9"/>
      <c r="E254" s="223"/>
      <c r="F254" s="223"/>
      <c r="G254" s="223"/>
      <c r="J254" s="47"/>
      <c r="K254" s="11"/>
    </row>
    <row r="255" spans="1:11" s="51" customFormat="1">
      <c r="A255" s="29"/>
      <c r="B255" s="13"/>
      <c r="C255" s="45"/>
      <c r="D255" s="9"/>
      <c r="E255" s="223"/>
      <c r="F255" s="223"/>
      <c r="G255" s="223"/>
      <c r="J255" s="47"/>
      <c r="K255" s="11"/>
    </row>
    <row r="256" spans="1:11" s="51" customFormat="1">
      <c r="A256" s="29"/>
      <c r="B256" s="13"/>
      <c r="C256" s="45"/>
      <c r="D256" s="9"/>
      <c r="E256" s="223"/>
      <c r="F256" s="223"/>
      <c r="G256" s="223"/>
      <c r="J256" s="47"/>
      <c r="K256" s="11"/>
    </row>
    <row r="257" spans="1:11" s="51" customFormat="1">
      <c r="A257" s="29"/>
      <c r="B257" s="13"/>
      <c r="C257" s="45"/>
      <c r="D257" s="9"/>
      <c r="E257" s="223"/>
      <c r="F257" s="223"/>
      <c r="G257" s="223"/>
      <c r="J257" s="47"/>
      <c r="K257" s="11"/>
    </row>
    <row r="258" spans="1:11" s="51" customFormat="1">
      <c r="A258" s="29"/>
      <c r="B258" s="13"/>
      <c r="C258" s="45"/>
      <c r="D258" s="9"/>
      <c r="E258" s="223"/>
      <c r="F258" s="223"/>
      <c r="G258" s="223"/>
      <c r="J258" s="47"/>
      <c r="K258" s="11"/>
    </row>
    <row r="259" spans="1:11" s="51" customFormat="1">
      <c r="A259" s="29"/>
      <c r="B259" s="13"/>
      <c r="C259" s="45"/>
      <c r="D259" s="9"/>
      <c r="E259" s="223"/>
      <c r="F259" s="223"/>
      <c r="G259" s="223"/>
      <c r="J259" s="47"/>
      <c r="K259" s="11"/>
    </row>
    <row r="260" spans="1:11" s="51" customFormat="1">
      <c r="A260" s="29"/>
      <c r="B260" s="13"/>
      <c r="C260" s="45"/>
      <c r="D260" s="9"/>
      <c r="E260" s="223"/>
      <c r="F260" s="223"/>
      <c r="G260" s="223"/>
      <c r="J260" s="47"/>
      <c r="K260" s="11"/>
    </row>
    <row r="261" spans="1:11" s="51" customFormat="1">
      <c r="A261" s="29"/>
      <c r="B261" s="13"/>
      <c r="C261" s="45"/>
      <c r="D261" s="9"/>
      <c r="E261" s="223"/>
      <c r="F261" s="223"/>
      <c r="G261" s="223"/>
      <c r="J261" s="47"/>
      <c r="K261" s="11"/>
    </row>
    <row r="262" spans="1:11" s="51" customFormat="1">
      <c r="A262" s="29"/>
      <c r="B262" s="13"/>
      <c r="C262" s="45"/>
      <c r="D262" s="9"/>
      <c r="E262" s="223"/>
      <c r="F262" s="223"/>
      <c r="G262" s="223"/>
      <c r="J262" s="47"/>
      <c r="K262" s="11"/>
    </row>
    <row r="263" spans="1:11" s="51" customFormat="1">
      <c r="A263" s="29"/>
      <c r="B263" s="13"/>
      <c r="C263" s="45"/>
      <c r="D263" s="9"/>
      <c r="E263" s="223"/>
      <c r="F263" s="223"/>
      <c r="G263" s="223"/>
      <c r="J263" s="47"/>
      <c r="K263" s="11"/>
    </row>
    <row r="264" spans="1:11" s="51" customFormat="1">
      <c r="A264" s="29"/>
      <c r="B264" s="13"/>
      <c r="C264" s="45"/>
      <c r="D264" s="9"/>
      <c r="E264" s="223"/>
      <c r="F264" s="223"/>
      <c r="G264" s="223"/>
      <c r="J264" s="47"/>
      <c r="K264" s="11"/>
    </row>
    <row r="265" spans="1:11" s="51" customFormat="1">
      <c r="A265" s="29"/>
      <c r="B265" s="13"/>
      <c r="C265" s="45"/>
      <c r="D265" s="9"/>
      <c r="E265" s="223"/>
      <c r="F265" s="223"/>
      <c r="G265" s="223"/>
      <c r="J265" s="47"/>
      <c r="K265" s="11"/>
    </row>
    <row r="266" spans="1:11" s="51" customFormat="1">
      <c r="A266" s="29"/>
      <c r="B266" s="13"/>
      <c r="C266" s="45"/>
      <c r="D266" s="9"/>
      <c r="E266" s="223"/>
      <c r="F266" s="223"/>
      <c r="G266" s="223"/>
      <c r="J266" s="47"/>
      <c r="K266" s="11"/>
    </row>
    <row r="267" spans="1:11" s="51" customFormat="1">
      <c r="A267" s="29"/>
      <c r="B267" s="13"/>
      <c r="C267" s="45"/>
      <c r="D267" s="9"/>
      <c r="E267" s="223"/>
      <c r="F267" s="223"/>
      <c r="G267" s="223"/>
      <c r="J267" s="47"/>
      <c r="K267" s="11"/>
    </row>
    <row r="268" spans="1:11" s="51" customFormat="1">
      <c r="A268" s="29"/>
      <c r="B268" s="13"/>
      <c r="C268" s="45"/>
      <c r="D268" s="9"/>
      <c r="E268" s="223"/>
      <c r="F268" s="223"/>
      <c r="G268" s="223"/>
      <c r="J268" s="47"/>
      <c r="K268" s="11"/>
    </row>
    <row r="269" spans="1:11" s="51" customFormat="1">
      <c r="A269" s="29"/>
      <c r="B269" s="13"/>
      <c r="C269" s="45"/>
      <c r="D269" s="9"/>
      <c r="E269" s="223"/>
      <c r="F269" s="223"/>
      <c r="G269" s="223"/>
      <c r="J269" s="47"/>
      <c r="K269" s="11"/>
    </row>
    <row r="270" spans="1:11" s="51" customFormat="1">
      <c r="A270" s="29"/>
      <c r="B270" s="13"/>
      <c r="C270" s="45"/>
      <c r="D270" s="9"/>
      <c r="E270" s="223"/>
      <c r="F270" s="223"/>
      <c r="G270" s="223"/>
      <c r="J270" s="47"/>
      <c r="K270" s="11"/>
    </row>
    <row r="271" spans="1:11" s="51" customFormat="1">
      <c r="A271" s="29"/>
      <c r="B271" s="13"/>
      <c r="C271" s="45"/>
      <c r="D271" s="9"/>
      <c r="E271" s="223"/>
      <c r="F271" s="223"/>
      <c r="G271" s="223"/>
      <c r="J271" s="47"/>
      <c r="K271" s="11"/>
    </row>
    <row r="272" spans="1:11" s="51" customFormat="1">
      <c r="A272" s="29"/>
      <c r="B272" s="13"/>
      <c r="C272" s="45"/>
      <c r="D272" s="9"/>
      <c r="E272" s="223"/>
      <c r="F272" s="223"/>
      <c r="G272" s="223"/>
      <c r="J272" s="47"/>
      <c r="K272" s="11"/>
    </row>
    <row r="273" spans="1:11" s="51" customFormat="1">
      <c r="A273" s="29"/>
      <c r="B273" s="13"/>
      <c r="C273" s="45"/>
      <c r="D273" s="9"/>
      <c r="E273" s="223"/>
      <c r="F273" s="223"/>
      <c r="G273" s="223"/>
      <c r="J273" s="47"/>
      <c r="K273" s="11"/>
    </row>
    <row r="274" spans="1:11" s="51" customFormat="1">
      <c r="A274" s="29"/>
      <c r="B274" s="13"/>
      <c r="C274" s="45"/>
      <c r="D274" s="9"/>
      <c r="E274" s="223"/>
      <c r="F274" s="223"/>
      <c r="G274" s="223"/>
      <c r="J274" s="47"/>
      <c r="K274" s="11"/>
    </row>
    <row r="275" spans="1:11" s="51" customFormat="1">
      <c r="A275" s="29"/>
      <c r="B275" s="13"/>
      <c r="C275" s="45"/>
      <c r="D275" s="9"/>
      <c r="E275" s="223"/>
      <c r="F275" s="223"/>
      <c r="G275" s="223"/>
      <c r="J275" s="47"/>
      <c r="K275" s="11"/>
    </row>
    <row r="276" spans="1:11" s="51" customFormat="1">
      <c r="A276" s="29"/>
      <c r="B276" s="13"/>
      <c r="C276" s="45"/>
      <c r="D276" s="9"/>
      <c r="E276" s="223"/>
      <c r="F276" s="223"/>
      <c r="G276" s="223"/>
      <c r="J276" s="47"/>
      <c r="K276" s="11"/>
    </row>
  </sheetData>
  <sheetProtection sheet="1" objects="1" scenarios="1" selectLockedCells="1" selectUnlockedCells="1"/>
  <mergeCells count="89">
    <mergeCell ref="A2:A3"/>
    <mergeCell ref="B2:C3"/>
    <mergeCell ref="D2:G2"/>
    <mergeCell ref="H2:H3"/>
    <mergeCell ref="C43:C44"/>
    <mergeCell ref="D43:G43"/>
    <mergeCell ref="C27:C28"/>
    <mergeCell ref="D27:G28"/>
    <mergeCell ref="C29:C30"/>
    <mergeCell ref="E31:F31"/>
    <mergeCell ref="D32:G32"/>
    <mergeCell ref="E35:F35"/>
    <mergeCell ref="D9:G9"/>
    <mergeCell ref="E12:F12"/>
    <mergeCell ref="D13:G13"/>
    <mergeCell ref="C9:C10"/>
    <mergeCell ref="C45:C46"/>
    <mergeCell ref="C47:C48"/>
    <mergeCell ref="E48:F48"/>
    <mergeCell ref="E37:G37"/>
    <mergeCell ref="E38:G38"/>
    <mergeCell ref="E39:G39"/>
    <mergeCell ref="C49:C50"/>
    <mergeCell ref="D49:G49"/>
    <mergeCell ref="C58:C59"/>
    <mergeCell ref="E54:F54"/>
    <mergeCell ref="D55:G55"/>
    <mergeCell ref="E56:G56"/>
    <mergeCell ref="E57:G57"/>
    <mergeCell ref="E14:G14"/>
    <mergeCell ref="E15:G15"/>
    <mergeCell ref="E16:G16"/>
    <mergeCell ref="D20:G20"/>
    <mergeCell ref="D83:G83"/>
    <mergeCell ref="D70:G70"/>
    <mergeCell ref="E75:F75"/>
    <mergeCell ref="D76:G76"/>
    <mergeCell ref="K2:K3"/>
    <mergeCell ref="C5:C6"/>
    <mergeCell ref="D5:G5"/>
    <mergeCell ref="C7:C8"/>
    <mergeCell ref="E8:F8"/>
    <mergeCell ref="J2:J3"/>
    <mergeCell ref="I2:I3"/>
    <mergeCell ref="E136:F136"/>
    <mergeCell ref="C85:C86"/>
    <mergeCell ref="C87:C88"/>
    <mergeCell ref="E58:G58"/>
    <mergeCell ref="E77:G77"/>
    <mergeCell ref="E78:G78"/>
    <mergeCell ref="E79:G79"/>
    <mergeCell ref="C64:C65"/>
    <mergeCell ref="D64:G64"/>
    <mergeCell ref="C66:C67"/>
    <mergeCell ref="C68:C69"/>
    <mergeCell ref="E69:F69"/>
    <mergeCell ref="C83:C84"/>
    <mergeCell ref="C125:C126"/>
    <mergeCell ref="E97:G97"/>
    <mergeCell ref="E98:G98"/>
    <mergeCell ref="C113:C114"/>
    <mergeCell ref="C51:C52"/>
    <mergeCell ref="C53:C54"/>
    <mergeCell ref="C55:C56"/>
    <mergeCell ref="D131:G131"/>
    <mergeCell ref="E99:G99"/>
    <mergeCell ref="E102:F102"/>
    <mergeCell ref="D103:G103"/>
    <mergeCell ref="C115:C116"/>
    <mergeCell ref="C117:C118"/>
    <mergeCell ref="C119:C120"/>
    <mergeCell ref="C121:C122"/>
    <mergeCell ref="C123:C124"/>
    <mergeCell ref="B189:C189"/>
    <mergeCell ref="E21:G21"/>
    <mergeCell ref="E22:G22"/>
    <mergeCell ref="E23:G23"/>
    <mergeCell ref="D36:G36"/>
    <mergeCell ref="D137:G137"/>
    <mergeCell ref="C90:C91"/>
    <mergeCell ref="C96:C97"/>
    <mergeCell ref="D96:G96"/>
    <mergeCell ref="C98:C99"/>
    <mergeCell ref="C100:C101"/>
    <mergeCell ref="C102:C103"/>
    <mergeCell ref="C105:C106"/>
    <mergeCell ref="C107:C108"/>
    <mergeCell ref="C109:C110"/>
    <mergeCell ref="C111:C112"/>
  </mergeCells>
  <dataValidations disablePrompts="1" count="1">
    <dataValidation type="list" allowBlank="1" showInputMessage="1" showErrorMessage="1" sqref="D16 D23 D39 D58 D79 D99">
      <formula1>Insulation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 Ltd&amp;C&amp;P of &amp;N&amp;R&amp;A</oddFooter>
  </headerFooter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7"/>
  <dimension ref="A1:K239"/>
  <sheetViews>
    <sheetView view="pageLayout" topLeftCell="A13" workbookViewId="0">
      <selection activeCell="A29" sqref="A29:C32"/>
    </sheetView>
  </sheetViews>
  <sheetFormatPr defaultRowHeight="15"/>
  <cols>
    <col min="1" max="1" width="10.5703125" style="29" customWidth="1"/>
    <col min="2" max="2" width="10.5703125" style="13" customWidth="1"/>
    <col min="3" max="3" width="10.5703125" style="45" customWidth="1"/>
    <col min="4" max="4" width="9.28515625" style="9" bestFit="1" customWidth="1"/>
    <col min="5" max="5" width="9.28515625" style="223" customWidth="1"/>
    <col min="6" max="6" width="9.28515625" style="223" bestFit="1" customWidth="1"/>
    <col min="7" max="7" width="9.28515625" style="223" customWidth="1"/>
    <col min="8" max="8" width="10.5703125" style="51" customWidth="1"/>
    <col min="9" max="9" width="5.140625" style="51" customWidth="1"/>
    <col min="10" max="10" width="10.5703125" style="47" customWidth="1"/>
    <col min="11" max="11" width="10.5703125" style="11" customWidth="1"/>
  </cols>
  <sheetData>
    <row r="1" spans="1:11">
      <c r="A1" s="110" t="s">
        <v>277</v>
      </c>
      <c r="B1" s="29"/>
      <c r="D1" s="219"/>
      <c r="E1" s="219"/>
      <c r="F1" s="219"/>
      <c r="G1" s="219"/>
      <c r="H1" s="106"/>
      <c r="I1" s="106"/>
      <c r="J1" s="106"/>
      <c r="K1" s="61"/>
    </row>
    <row r="2" spans="1:11" s="1" customFormat="1">
      <c r="A2" s="421" t="s">
        <v>0</v>
      </c>
      <c r="B2" s="421" t="s">
        <v>1</v>
      </c>
      <c r="C2" s="433"/>
      <c r="D2" s="432" t="s">
        <v>2</v>
      </c>
      <c r="E2" s="425"/>
      <c r="F2" s="425"/>
      <c r="G2" s="433"/>
      <c r="H2" s="423" t="s">
        <v>6</v>
      </c>
      <c r="I2" s="423" t="s">
        <v>7</v>
      </c>
      <c r="J2" s="480" t="s">
        <v>8</v>
      </c>
      <c r="K2" s="434" t="s">
        <v>9</v>
      </c>
    </row>
    <row r="3" spans="1:11" s="6" customFormat="1">
      <c r="A3" s="422"/>
      <c r="B3" s="422"/>
      <c r="C3" s="461"/>
      <c r="D3" s="7" t="s">
        <v>3</v>
      </c>
      <c r="E3" s="220" t="s">
        <v>4</v>
      </c>
      <c r="F3" s="220" t="s">
        <v>5</v>
      </c>
      <c r="G3" s="220" t="s">
        <v>45</v>
      </c>
      <c r="H3" s="424"/>
      <c r="I3" s="424"/>
      <c r="J3" s="481"/>
      <c r="K3" s="435"/>
    </row>
    <row r="4" spans="1:11">
      <c r="A4" s="3"/>
      <c r="B4" s="5"/>
      <c r="C4" s="62"/>
      <c r="D4" s="8"/>
      <c r="E4" s="228"/>
      <c r="F4" s="228"/>
      <c r="G4" s="228"/>
      <c r="H4" s="5"/>
      <c r="I4" s="70"/>
      <c r="J4" s="65"/>
      <c r="K4" s="10"/>
    </row>
    <row r="5" spans="1:11" ht="15" customHeight="1">
      <c r="A5" s="27">
        <v>13</v>
      </c>
      <c r="B5" s="27">
        <v>0.8</v>
      </c>
      <c r="C5" s="334">
        <f>A5*B5</f>
        <v>10.4</v>
      </c>
      <c r="D5" s="416" t="s">
        <v>73</v>
      </c>
      <c r="E5" s="417"/>
      <c r="F5" s="417"/>
      <c r="G5" s="417"/>
    </row>
    <row r="6" spans="1:11" ht="15" customHeight="1" thickBot="1">
      <c r="A6" s="25">
        <v>26</v>
      </c>
      <c r="B6" s="25">
        <v>2.1</v>
      </c>
      <c r="C6" s="332">
        <f>A6*B6</f>
        <v>54.6</v>
      </c>
      <c r="D6" s="312" t="s">
        <v>729</v>
      </c>
      <c r="E6" s="490" t="str">
        <f>'Material Analysis'!C80</f>
        <v>SW_Arch</v>
      </c>
      <c r="F6" s="491"/>
      <c r="G6" s="492"/>
    </row>
    <row r="7" spans="1:11" ht="15.75" thickBot="1">
      <c r="A7" s="180"/>
      <c r="B7" s="179"/>
      <c r="C7" s="121">
        <f ca="1">SUM(C5:(OFFSET(C7,-1,0)))</f>
        <v>65</v>
      </c>
      <c r="D7" s="312" t="s">
        <v>728</v>
      </c>
      <c r="E7" s="490" t="str">
        <f>'Material Analysis'!D80</f>
        <v>SW - Bullnose</v>
      </c>
      <c r="F7" s="491"/>
      <c r="G7" s="492"/>
    </row>
    <row r="8" spans="1:11">
      <c r="D8" s="214"/>
      <c r="E8" s="99" t="s">
        <v>74</v>
      </c>
      <c r="F8" s="99" t="s">
        <v>75</v>
      </c>
      <c r="G8" s="215"/>
    </row>
    <row r="9" spans="1:11">
      <c r="D9" s="39"/>
      <c r="E9" s="34">
        <v>2</v>
      </c>
      <c r="F9" s="34">
        <f ca="1">SUM($C7*E9)</f>
        <v>130</v>
      </c>
      <c r="G9" s="34"/>
    </row>
    <row r="10" spans="1:11" ht="15" customHeight="1">
      <c r="D10" s="36">
        <f>'Labour Analysis'!$E$100*0.15</f>
        <v>2.625</v>
      </c>
      <c r="E10" s="31">
        <v>0</v>
      </c>
      <c r="F10" s="31">
        <f>'Material Analysis'!I80</f>
        <v>2.875</v>
      </c>
      <c r="G10" s="31">
        <v>0</v>
      </c>
      <c r="H10" s="27">
        <f ca="1">$F9</f>
        <v>130</v>
      </c>
      <c r="I10" s="30" t="s">
        <v>39</v>
      </c>
      <c r="J10" s="41">
        <f>SUM(D10:G10)</f>
        <v>5.5</v>
      </c>
      <c r="K10" s="42">
        <f ca="1">SUM(H10*J10)</f>
        <v>715</v>
      </c>
    </row>
    <row r="11" spans="1:11" ht="15" customHeight="1"/>
    <row r="13" spans="1:11">
      <c r="A13" s="3"/>
      <c r="B13" s="3"/>
      <c r="C13" s="217"/>
      <c r="D13" s="448" t="s">
        <v>81</v>
      </c>
      <c r="E13" s="449"/>
      <c r="F13" s="449"/>
      <c r="G13" s="450"/>
      <c r="H13" s="2"/>
      <c r="I13" s="2"/>
      <c r="J13" s="2"/>
      <c r="K13" s="10"/>
    </row>
    <row r="14" spans="1:11" ht="15.75" customHeight="1">
      <c r="A14" s="3"/>
      <c r="B14" s="3"/>
      <c r="C14" s="227"/>
      <c r="D14" s="454"/>
      <c r="E14" s="455"/>
      <c r="F14" s="455"/>
      <c r="G14" s="456"/>
      <c r="H14" s="2"/>
      <c r="I14" s="2"/>
      <c r="J14" s="2"/>
      <c r="K14" s="10"/>
    </row>
    <row r="15" spans="1:11" ht="15.75" thickBot="1">
      <c r="A15" s="3"/>
      <c r="B15" s="3"/>
      <c r="C15" s="100"/>
      <c r="D15" s="439" t="s">
        <v>82</v>
      </c>
      <c r="E15" s="440"/>
      <c r="F15" s="440"/>
      <c r="G15" s="441"/>
      <c r="H15" s="2"/>
      <c r="I15" s="2"/>
      <c r="J15" s="2"/>
      <c r="K15" s="10"/>
    </row>
    <row r="16" spans="1:11" ht="15" customHeight="1" thickBot="1">
      <c r="A16" s="25">
        <v>13</v>
      </c>
      <c r="B16" s="41">
        <v>1</v>
      </c>
      <c r="C16" s="102">
        <f>A16*B16</f>
        <v>13</v>
      </c>
      <c r="D16" s="36">
        <f>'Labour Analysis'!$E$100*2.6</f>
        <v>45.5</v>
      </c>
      <c r="E16" s="34">
        <v>0</v>
      </c>
      <c r="F16" s="34">
        <f>'Material Analysis'!I81</f>
        <v>65</v>
      </c>
      <c r="G16" s="34">
        <v>0</v>
      </c>
      <c r="H16" s="27">
        <f>$C16</f>
        <v>13</v>
      </c>
      <c r="I16" s="50" t="s">
        <v>44</v>
      </c>
      <c r="J16" s="59">
        <f>SUM(D16:G16)</f>
        <v>110.5</v>
      </c>
      <c r="K16" s="49">
        <f>J16*H16</f>
        <v>1436.5</v>
      </c>
    </row>
    <row r="19" spans="1:11" ht="15" customHeight="1">
      <c r="A19" s="27">
        <v>6</v>
      </c>
      <c r="B19" s="27">
        <v>8.25</v>
      </c>
      <c r="C19" s="218">
        <f>A19*B19</f>
        <v>49.5</v>
      </c>
      <c r="D19" s="439" t="s">
        <v>83</v>
      </c>
      <c r="E19" s="440"/>
      <c r="F19" s="440"/>
      <c r="G19" s="441"/>
      <c r="H19" s="4"/>
      <c r="I19" s="4"/>
      <c r="J19" s="4"/>
    </row>
    <row r="20" spans="1:11">
      <c r="A20" s="27">
        <v>8</v>
      </c>
      <c r="B20" s="27">
        <v>5.45</v>
      </c>
      <c r="C20" s="218">
        <f>A20*B20</f>
        <v>43.6</v>
      </c>
      <c r="D20" s="302" t="s">
        <v>729</v>
      </c>
      <c r="E20" s="444" t="str">
        <f>'Material Analysis'!C82</f>
        <v>SW_Skirting</v>
      </c>
      <c r="F20" s="445"/>
      <c r="G20" s="446"/>
      <c r="H20" s="4"/>
      <c r="I20" s="4"/>
      <c r="J20" s="4"/>
    </row>
    <row r="21" spans="1:11" ht="15" customHeight="1">
      <c r="A21" s="27">
        <v>4</v>
      </c>
      <c r="B21" s="27">
        <v>10.25</v>
      </c>
      <c r="C21" s="218">
        <f>A21*B21</f>
        <v>41</v>
      </c>
      <c r="D21" s="302" t="s">
        <v>728</v>
      </c>
      <c r="E21" s="444" t="str">
        <f>'Material Analysis'!D82</f>
        <v>SW - Bullnose</v>
      </c>
      <c r="F21" s="445"/>
      <c r="G21" s="446"/>
      <c r="H21" s="4"/>
      <c r="I21" s="4"/>
      <c r="J21" s="4"/>
    </row>
    <row r="22" spans="1:11" ht="15" customHeight="1">
      <c r="A22" s="27">
        <v>2</v>
      </c>
      <c r="B22" s="27">
        <v>3.3</v>
      </c>
      <c r="C22" s="218">
        <f>A22*B22</f>
        <v>6.6</v>
      </c>
      <c r="D22" s="36">
        <f>'Labour Analysis'!$E$100*0.2</f>
        <v>3.5</v>
      </c>
      <c r="E22" s="31">
        <v>0</v>
      </c>
      <c r="F22" s="31">
        <f>'Material Analysis'!I82</f>
        <v>3.85</v>
      </c>
      <c r="G22" s="31">
        <v>0</v>
      </c>
      <c r="H22" s="25">
        <f ca="1">$C34</f>
        <v>152.99999999999997</v>
      </c>
      <c r="I22" s="30" t="s">
        <v>39</v>
      </c>
      <c r="J22" s="41">
        <f>SUM(D22:G22)</f>
        <v>7.35</v>
      </c>
      <c r="K22" s="42">
        <f ca="1">SUM(H22*J22)</f>
        <v>1124.5499999999997</v>
      </c>
    </row>
    <row r="23" spans="1:11">
      <c r="A23" s="25">
        <v>2</v>
      </c>
      <c r="B23" s="25">
        <v>2.75</v>
      </c>
      <c r="C23" s="218">
        <f>A23*B23</f>
        <v>5.5</v>
      </c>
    </row>
    <row r="24" spans="1:11">
      <c r="A24" s="27">
        <v>2</v>
      </c>
      <c r="B24" s="27">
        <v>4.25</v>
      </c>
      <c r="C24" s="218">
        <f t="shared" ref="C24:C27" si="0">A24*B24</f>
        <v>8.5</v>
      </c>
    </row>
    <row r="25" spans="1:11">
      <c r="A25" s="27">
        <v>5</v>
      </c>
      <c r="B25" s="27">
        <v>1</v>
      </c>
      <c r="C25" s="218">
        <f t="shared" si="0"/>
        <v>5</v>
      </c>
    </row>
    <row r="26" spans="1:11" ht="15" customHeight="1">
      <c r="A26" s="25">
        <v>4</v>
      </c>
      <c r="B26" s="25">
        <v>4.5</v>
      </c>
      <c r="C26" s="218">
        <f t="shared" si="0"/>
        <v>18</v>
      </c>
    </row>
    <row r="27" spans="1:11" ht="15" customHeight="1" thickBot="1">
      <c r="A27" s="27">
        <v>2</v>
      </c>
      <c r="B27" s="27">
        <v>1.3</v>
      </c>
      <c r="C27" s="218">
        <f t="shared" si="0"/>
        <v>2.6</v>
      </c>
    </row>
    <row r="28" spans="1:11" ht="15.75" thickBot="1">
      <c r="A28" s="25"/>
      <c r="B28" s="80" t="s">
        <v>38</v>
      </c>
      <c r="C28" s="121">
        <f ca="1">SUM(C19:(OFFSET(C28,-1,0)))</f>
        <v>180.29999999999998</v>
      </c>
    </row>
    <row r="29" spans="1:11">
      <c r="A29" s="27">
        <v>26</v>
      </c>
      <c r="B29" s="27">
        <v>0.8</v>
      </c>
      <c r="C29" s="218">
        <f>A29*B29</f>
        <v>20.8</v>
      </c>
    </row>
    <row r="30" spans="1:11">
      <c r="A30" s="27">
        <v>2</v>
      </c>
      <c r="B30" s="27">
        <v>0.9</v>
      </c>
      <c r="C30" s="218">
        <f>A30*B30</f>
        <v>1.8</v>
      </c>
    </row>
    <row r="31" spans="1:11" ht="15" customHeight="1">
      <c r="A31" s="27">
        <v>1</v>
      </c>
      <c r="B31" s="27">
        <v>2.9</v>
      </c>
      <c r="C31" s="334">
        <f>A31*B31</f>
        <v>2.9</v>
      </c>
      <c r="E31" s="335"/>
      <c r="F31" s="335"/>
      <c r="G31" s="335"/>
    </row>
    <row r="32" spans="1:11">
      <c r="A32" s="27">
        <v>1</v>
      </c>
      <c r="B32" s="27">
        <v>1.8</v>
      </c>
      <c r="C32" s="334">
        <f>A32*B32</f>
        <v>1.8</v>
      </c>
      <c r="E32" s="335"/>
      <c r="F32" s="335"/>
      <c r="G32" s="335"/>
    </row>
    <row r="33" spans="2:3" ht="15.75" thickBot="1">
      <c r="C33" s="283">
        <f ca="1">SUM(C29:(OFFSET(C33,-1,0)))</f>
        <v>27.3</v>
      </c>
    </row>
    <row r="34" spans="2:3" ht="15.75" thickBot="1">
      <c r="B34" s="29"/>
      <c r="C34" s="101">
        <f ca="1">C28-C33</f>
        <v>152.99999999999997</v>
      </c>
    </row>
    <row r="36" spans="2:3" ht="15" customHeight="1"/>
    <row r="39" spans="2:3" ht="15" customHeight="1"/>
    <row r="44" spans="2:3" ht="15" customHeight="1"/>
    <row r="50" spans="2:11">
      <c r="E50" s="335"/>
      <c r="F50" s="335"/>
      <c r="G50" s="335"/>
    </row>
    <row r="51" spans="2:11">
      <c r="E51" s="335"/>
      <c r="F51" s="335"/>
      <c r="G51" s="335"/>
    </row>
    <row r="52" spans="2:11">
      <c r="E52" s="335"/>
      <c r="F52" s="335"/>
      <c r="G52" s="335"/>
    </row>
    <row r="54" spans="2:11" ht="15" customHeight="1"/>
    <row r="55" spans="2:11" ht="15" customHeight="1"/>
    <row r="60" spans="2:11" ht="15" customHeight="1"/>
    <row r="61" spans="2:11" ht="15" customHeight="1" thickBot="1"/>
    <row r="62" spans="2:11" ht="17.25" thickTop="1" thickBot="1">
      <c r="B62" s="405" t="s">
        <v>36</v>
      </c>
      <c r="C62" s="406"/>
      <c r="D62" s="72">
        <f ca="1">SUMPRODUCT(D1:D61,$H1:$H61)</f>
        <v>1468.25</v>
      </c>
      <c r="E62" s="72">
        <f ca="1">SUMPRODUCT(E1:E61,$H1:$H61)</f>
        <v>0</v>
      </c>
      <c r="F62" s="72">
        <f ca="1">SUMPRODUCT(F1:F61,$H1:$H61)</f>
        <v>1807.8</v>
      </c>
      <c r="G62" s="72">
        <f ca="1">SUMPRODUCT(G1:G61,$H1:$H61)</f>
        <v>0</v>
      </c>
      <c r="H62" s="57">
        <f ca="1">SUM(D62:G62)</f>
        <v>3276.05</v>
      </c>
      <c r="I62" s="54"/>
      <c r="J62" s="199"/>
      <c r="K62" s="56">
        <f ca="1">SUM(K5:K61)</f>
        <v>3276.0499999999997</v>
      </c>
    </row>
    <row r="63" spans="2:11">
      <c r="B63" s="29"/>
      <c r="C63" s="14"/>
      <c r="G63" s="17"/>
      <c r="H63" s="4"/>
      <c r="I63" s="4"/>
      <c r="J63" s="4"/>
      <c r="K63" s="58" t="str">
        <f ca="1">IF((H62+J62)=K62,"Correct")</f>
        <v>Correct</v>
      </c>
    </row>
    <row r="64" spans="2:11" ht="15" customHeight="1"/>
    <row r="65" ht="15.75" customHeight="1"/>
    <row r="66" ht="15" customHeight="1"/>
    <row r="67" ht="15.75" customHeight="1"/>
    <row r="69" ht="15" customHeight="1"/>
    <row r="72" ht="15.75" customHeight="1"/>
    <row r="74" ht="15" customHeight="1"/>
    <row r="77" ht="15.75" customHeight="1"/>
    <row r="79" ht="15.75" customHeight="1"/>
    <row r="112" spans="1:11" s="9" customFormat="1">
      <c r="A112" s="29"/>
      <c r="B112" s="13"/>
      <c r="C112" s="45"/>
      <c r="E112" s="223"/>
      <c r="F112" s="223"/>
      <c r="G112" s="223"/>
      <c r="H112" s="51"/>
      <c r="I112" s="51"/>
      <c r="J112" s="47"/>
      <c r="K112" s="11"/>
    </row>
    <row r="113" spans="1:11" s="9" customFormat="1">
      <c r="A113" s="29"/>
      <c r="B113" s="13"/>
      <c r="C113" s="45"/>
      <c r="E113" s="223"/>
      <c r="F113" s="223"/>
      <c r="G113" s="223"/>
      <c r="H113" s="51"/>
      <c r="I113" s="51"/>
      <c r="J113" s="47"/>
      <c r="K113" s="11"/>
    </row>
    <row r="114" spans="1:11" s="9" customFormat="1">
      <c r="A114" s="29"/>
      <c r="B114" s="13"/>
      <c r="C114" s="45"/>
      <c r="E114" s="223"/>
      <c r="F114" s="223"/>
      <c r="G114" s="223"/>
      <c r="H114" s="51"/>
      <c r="I114" s="51"/>
      <c r="J114" s="47"/>
      <c r="K114" s="11"/>
    </row>
    <row r="115" spans="1:11" s="9" customFormat="1">
      <c r="A115" s="29"/>
      <c r="B115" s="13"/>
      <c r="C115" s="45"/>
      <c r="E115" s="223"/>
      <c r="F115" s="223"/>
      <c r="G115" s="223"/>
      <c r="H115" s="51"/>
      <c r="I115" s="51"/>
      <c r="J115" s="47"/>
      <c r="K115" s="11"/>
    </row>
    <row r="116" spans="1:11" s="9" customFormat="1">
      <c r="A116" s="29"/>
      <c r="B116" s="13"/>
      <c r="C116" s="45"/>
      <c r="E116" s="223"/>
      <c r="F116" s="223"/>
      <c r="G116" s="223"/>
      <c r="H116" s="51"/>
      <c r="I116" s="51"/>
      <c r="J116" s="47"/>
      <c r="K116" s="11"/>
    </row>
    <row r="117" spans="1:11" s="9" customFormat="1">
      <c r="A117" s="29"/>
      <c r="B117" s="13"/>
      <c r="C117" s="45"/>
      <c r="E117" s="223"/>
      <c r="F117" s="223"/>
      <c r="G117" s="223"/>
      <c r="H117" s="51"/>
      <c r="I117" s="51"/>
      <c r="J117" s="47"/>
      <c r="K117" s="11"/>
    </row>
    <row r="118" spans="1:11" s="9" customFormat="1">
      <c r="A118" s="29"/>
      <c r="B118" s="13"/>
      <c r="C118" s="45"/>
      <c r="E118" s="223"/>
      <c r="F118" s="223"/>
      <c r="G118" s="223"/>
      <c r="H118" s="51"/>
      <c r="I118" s="51"/>
      <c r="J118" s="47"/>
      <c r="K118" s="11"/>
    </row>
    <row r="119" spans="1:11" s="9" customFormat="1">
      <c r="A119" s="29"/>
      <c r="B119" s="13"/>
      <c r="C119" s="45"/>
      <c r="E119" s="223"/>
      <c r="F119" s="223"/>
      <c r="G119" s="223"/>
      <c r="H119" s="51"/>
      <c r="I119" s="51"/>
      <c r="J119" s="47"/>
      <c r="K119" s="11"/>
    </row>
    <row r="120" spans="1:11" s="9" customFormat="1">
      <c r="A120" s="29"/>
      <c r="B120" s="13"/>
      <c r="C120" s="45"/>
      <c r="E120" s="223"/>
      <c r="F120" s="223"/>
      <c r="G120" s="223"/>
      <c r="H120" s="51"/>
      <c r="I120" s="51"/>
      <c r="J120" s="47"/>
      <c r="K120" s="11"/>
    </row>
    <row r="121" spans="1:11" s="9" customFormat="1">
      <c r="A121" s="29"/>
      <c r="B121" s="13"/>
      <c r="C121" s="45"/>
      <c r="E121" s="223"/>
      <c r="F121" s="223"/>
      <c r="G121" s="223"/>
      <c r="H121" s="51"/>
      <c r="I121" s="51"/>
      <c r="J121" s="47"/>
      <c r="K121" s="11"/>
    </row>
    <row r="122" spans="1:11" s="9" customFormat="1">
      <c r="A122" s="29"/>
      <c r="B122" s="13"/>
      <c r="C122" s="45"/>
      <c r="E122" s="223"/>
      <c r="F122" s="223"/>
      <c r="G122" s="223"/>
      <c r="H122" s="51"/>
      <c r="I122" s="51"/>
      <c r="J122" s="47"/>
      <c r="K122" s="11"/>
    </row>
    <row r="123" spans="1:11" s="9" customFormat="1">
      <c r="A123" s="29"/>
      <c r="B123" s="13"/>
      <c r="C123" s="45"/>
      <c r="E123" s="223"/>
      <c r="F123" s="223"/>
      <c r="G123" s="223"/>
      <c r="H123" s="51"/>
      <c r="I123" s="51"/>
      <c r="J123" s="47"/>
      <c r="K123" s="11"/>
    </row>
    <row r="124" spans="1:11" s="9" customFormat="1">
      <c r="A124" s="29"/>
      <c r="B124" s="13"/>
      <c r="C124" s="45"/>
      <c r="E124" s="223"/>
      <c r="F124" s="223"/>
      <c r="G124" s="223"/>
      <c r="H124" s="51"/>
      <c r="I124" s="51"/>
      <c r="J124" s="47"/>
      <c r="K124" s="11"/>
    </row>
    <row r="125" spans="1:11" s="9" customFormat="1">
      <c r="A125" s="29"/>
      <c r="B125" s="13"/>
      <c r="C125" s="45"/>
      <c r="E125" s="223"/>
      <c r="F125" s="223"/>
      <c r="G125" s="223"/>
      <c r="H125" s="51"/>
      <c r="I125" s="51"/>
      <c r="J125" s="47"/>
      <c r="K125" s="11"/>
    </row>
    <row r="126" spans="1:11" s="9" customFormat="1">
      <c r="A126" s="29"/>
      <c r="B126" s="13"/>
      <c r="C126" s="45"/>
      <c r="E126" s="223"/>
      <c r="F126" s="223"/>
      <c r="G126" s="223"/>
      <c r="H126" s="51"/>
      <c r="I126" s="51"/>
      <c r="J126" s="47"/>
      <c r="K126" s="11"/>
    </row>
    <row r="127" spans="1:11" s="9" customFormat="1">
      <c r="A127" s="29"/>
      <c r="B127" s="13"/>
      <c r="C127" s="45"/>
      <c r="E127" s="223"/>
      <c r="F127" s="223"/>
      <c r="G127" s="223"/>
      <c r="H127" s="51"/>
      <c r="I127" s="51"/>
      <c r="J127" s="47"/>
      <c r="K127" s="11"/>
    </row>
    <row r="138" ht="15" customHeight="1"/>
    <row r="140" ht="15.75" customHeight="1"/>
    <row r="144" ht="15" customHeight="1"/>
    <row r="188" ht="15" customHeight="1"/>
    <row r="208" spans="1:11" s="51" customFormat="1">
      <c r="A208" s="29"/>
      <c r="B208" s="13"/>
      <c r="C208" s="45"/>
      <c r="D208" s="9"/>
      <c r="E208" s="223"/>
      <c r="F208" s="223"/>
      <c r="G208" s="223"/>
      <c r="J208" s="47"/>
      <c r="K208" s="11"/>
    </row>
    <row r="209" spans="1:11" s="51" customFormat="1">
      <c r="A209" s="29"/>
      <c r="B209" s="13"/>
      <c r="C209" s="45"/>
      <c r="D209" s="9"/>
      <c r="E209" s="223"/>
      <c r="F209" s="223"/>
      <c r="G209" s="223"/>
      <c r="J209" s="47"/>
      <c r="K209" s="11"/>
    </row>
    <row r="210" spans="1:11" s="51" customFormat="1">
      <c r="A210" s="29"/>
      <c r="B210" s="13"/>
      <c r="C210" s="45"/>
      <c r="D210" s="9"/>
      <c r="E210" s="223"/>
      <c r="F210" s="223"/>
      <c r="G210" s="223"/>
      <c r="J210" s="47"/>
      <c r="K210" s="11"/>
    </row>
    <row r="211" spans="1:11" s="51" customFormat="1">
      <c r="A211" s="29"/>
      <c r="B211" s="13"/>
      <c r="C211" s="45"/>
      <c r="D211" s="9"/>
      <c r="E211" s="223"/>
      <c r="F211" s="223"/>
      <c r="G211" s="223"/>
      <c r="J211" s="47"/>
      <c r="K211" s="11"/>
    </row>
    <row r="212" spans="1:11" s="51" customFormat="1">
      <c r="A212" s="29"/>
      <c r="B212" s="13"/>
      <c r="C212" s="45"/>
      <c r="D212" s="9"/>
      <c r="E212" s="223"/>
      <c r="F212" s="223"/>
      <c r="G212" s="223"/>
      <c r="J212" s="47"/>
      <c r="K212" s="11"/>
    </row>
    <row r="213" spans="1:11" s="51" customFormat="1">
      <c r="A213" s="29"/>
      <c r="B213" s="13"/>
      <c r="C213" s="45"/>
      <c r="D213" s="9"/>
      <c r="E213" s="223"/>
      <c r="F213" s="223"/>
      <c r="G213" s="223"/>
      <c r="J213" s="47"/>
      <c r="K213" s="11"/>
    </row>
    <row r="214" spans="1:11" s="51" customFormat="1">
      <c r="A214" s="29"/>
      <c r="B214" s="13"/>
      <c r="C214" s="45"/>
      <c r="D214" s="9"/>
      <c r="E214" s="223"/>
      <c r="F214" s="223"/>
      <c r="G214" s="223"/>
      <c r="J214" s="47"/>
      <c r="K214" s="11"/>
    </row>
    <row r="215" spans="1:11" s="51" customFormat="1">
      <c r="A215" s="29"/>
      <c r="B215" s="13"/>
      <c r="C215" s="45"/>
      <c r="D215" s="9"/>
      <c r="E215" s="223"/>
      <c r="F215" s="223"/>
      <c r="G215" s="223"/>
      <c r="J215" s="47"/>
      <c r="K215" s="11"/>
    </row>
    <row r="216" spans="1:11" s="51" customFormat="1">
      <c r="A216" s="29"/>
      <c r="B216" s="13"/>
      <c r="C216" s="45"/>
      <c r="D216" s="9"/>
      <c r="E216" s="223"/>
      <c r="F216" s="223"/>
      <c r="G216" s="223"/>
      <c r="J216" s="47"/>
      <c r="K216" s="11"/>
    </row>
    <row r="217" spans="1:11" s="51" customFormat="1">
      <c r="A217" s="29"/>
      <c r="B217" s="13"/>
      <c r="C217" s="45"/>
      <c r="D217" s="9"/>
      <c r="E217" s="223"/>
      <c r="F217" s="223"/>
      <c r="G217" s="223"/>
      <c r="J217" s="47"/>
      <c r="K217" s="11"/>
    </row>
    <row r="218" spans="1:11" s="51" customFormat="1">
      <c r="A218" s="29"/>
      <c r="B218" s="13"/>
      <c r="C218" s="45"/>
      <c r="D218" s="9"/>
      <c r="E218" s="223"/>
      <c r="F218" s="223"/>
      <c r="G218" s="223"/>
      <c r="J218" s="47"/>
      <c r="K218" s="11"/>
    </row>
    <row r="219" spans="1:11" s="51" customFormat="1">
      <c r="A219" s="29"/>
      <c r="B219" s="13"/>
      <c r="C219" s="45"/>
      <c r="D219" s="9"/>
      <c r="E219" s="223"/>
      <c r="F219" s="223"/>
      <c r="G219" s="223"/>
      <c r="J219" s="47"/>
      <c r="K219" s="11"/>
    </row>
    <row r="220" spans="1:11" s="51" customFormat="1">
      <c r="A220" s="29"/>
      <c r="B220" s="13"/>
      <c r="C220" s="45"/>
      <c r="D220" s="9"/>
      <c r="E220" s="223"/>
      <c r="F220" s="223"/>
      <c r="G220" s="223"/>
      <c r="J220" s="47"/>
      <c r="K220" s="11"/>
    </row>
    <row r="221" spans="1:11" s="51" customFormat="1">
      <c r="A221" s="29"/>
      <c r="B221" s="13"/>
      <c r="C221" s="45"/>
      <c r="D221" s="9"/>
      <c r="E221" s="223"/>
      <c r="F221" s="223"/>
      <c r="G221" s="223"/>
      <c r="J221" s="47"/>
      <c r="K221" s="11"/>
    </row>
    <row r="222" spans="1:11" s="51" customFormat="1">
      <c r="A222" s="29"/>
      <c r="B222" s="13"/>
      <c r="C222" s="45"/>
      <c r="D222" s="9"/>
      <c r="E222" s="223"/>
      <c r="F222" s="223"/>
      <c r="G222" s="223"/>
      <c r="J222" s="47"/>
      <c r="K222" s="11"/>
    </row>
    <row r="223" spans="1:11" s="51" customFormat="1">
      <c r="A223" s="29"/>
      <c r="B223" s="13"/>
      <c r="C223" s="45"/>
      <c r="D223" s="9"/>
      <c r="E223" s="223"/>
      <c r="F223" s="223"/>
      <c r="G223" s="223"/>
      <c r="J223" s="47"/>
      <c r="K223" s="11"/>
    </row>
    <row r="224" spans="1:11" s="51" customFormat="1">
      <c r="A224" s="29"/>
      <c r="B224" s="13"/>
      <c r="C224" s="45"/>
      <c r="D224" s="9"/>
      <c r="E224" s="223"/>
      <c r="F224" s="223"/>
      <c r="G224" s="223"/>
      <c r="J224" s="47"/>
      <c r="K224" s="11"/>
    </row>
    <row r="225" spans="1:11" s="51" customFormat="1">
      <c r="A225" s="29"/>
      <c r="B225" s="13"/>
      <c r="C225" s="45"/>
      <c r="D225" s="9"/>
      <c r="E225" s="223"/>
      <c r="F225" s="223"/>
      <c r="G225" s="223"/>
      <c r="J225" s="47"/>
      <c r="K225" s="11"/>
    </row>
    <row r="226" spans="1:11" s="51" customFormat="1">
      <c r="A226" s="29"/>
      <c r="B226" s="13"/>
      <c r="C226" s="45"/>
      <c r="D226" s="9"/>
      <c r="E226" s="223"/>
      <c r="F226" s="223"/>
      <c r="G226" s="223"/>
      <c r="J226" s="47"/>
      <c r="K226" s="11"/>
    </row>
    <row r="227" spans="1:11" s="51" customFormat="1">
      <c r="A227" s="29"/>
      <c r="B227" s="13"/>
      <c r="C227" s="45"/>
      <c r="D227" s="9"/>
      <c r="E227" s="223"/>
      <c r="F227" s="223"/>
      <c r="G227" s="223"/>
      <c r="J227" s="47"/>
      <c r="K227" s="11"/>
    </row>
    <row r="228" spans="1:11" s="51" customFormat="1">
      <c r="A228" s="29"/>
      <c r="B228" s="13"/>
      <c r="C228" s="45"/>
      <c r="D228" s="9"/>
      <c r="E228" s="223"/>
      <c r="F228" s="223"/>
      <c r="G228" s="223"/>
      <c r="J228" s="47"/>
      <c r="K228" s="11"/>
    </row>
    <row r="229" spans="1:11" s="51" customFormat="1">
      <c r="A229" s="29"/>
      <c r="B229" s="13"/>
      <c r="C229" s="45"/>
      <c r="D229" s="9"/>
      <c r="E229" s="223"/>
      <c r="F229" s="223"/>
      <c r="G229" s="223"/>
      <c r="J229" s="47"/>
      <c r="K229" s="11"/>
    </row>
    <row r="230" spans="1:11" s="51" customFormat="1">
      <c r="A230" s="29"/>
      <c r="B230" s="13"/>
      <c r="C230" s="45"/>
      <c r="D230" s="9"/>
      <c r="E230" s="223"/>
      <c r="F230" s="223"/>
      <c r="G230" s="223"/>
      <c r="J230" s="47"/>
      <c r="K230" s="11"/>
    </row>
    <row r="231" spans="1:11" s="51" customFormat="1">
      <c r="A231" s="29"/>
      <c r="B231" s="13"/>
      <c r="C231" s="45"/>
      <c r="D231" s="9"/>
      <c r="E231" s="223"/>
      <c r="F231" s="223"/>
      <c r="G231" s="223"/>
      <c r="J231" s="47"/>
      <c r="K231" s="11"/>
    </row>
    <row r="232" spans="1:11" s="51" customFormat="1">
      <c r="A232" s="29"/>
      <c r="B232" s="13"/>
      <c r="C232" s="45"/>
      <c r="D232" s="9"/>
      <c r="E232" s="223"/>
      <c r="F232" s="223"/>
      <c r="G232" s="223"/>
      <c r="J232" s="47"/>
      <c r="K232" s="11"/>
    </row>
    <row r="233" spans="1:11" s="51" customFormat="1">
      <c r="A233" s="29"/>
      <c r="B233" s="13"/>
      <c r="C233" s="45"/>
      <c r="D233" s="9"/>
      <c r="E233" s="223"/>
      <c r="F233" s="223"/>
      <c r="G233" s="223"/>
      <c r="J233" s="47"/>
      <c r="K233" s="11"/>
    </row>
    <row r="234" spans="1:11" s="51" customFormat="1">
      <c r="A234" s="29"/>
      <c r="B234" s="13"/>
      <c r="C234" s="45"/>
      <c r="D234" s="9"/>
      <c r="E234" s="223"/>
      <c r="F234" s="223"/>
      <c r="G234" s="223"/>
      <c r="J234" s="47"/>
      <c r="K234" s="11"/>
    </row>
    <row r="235" spans="1:11" s="51" customFormat="1">
      <c r="A235" s="29"/>
      <c r="B235" s="13"/>
      <c r="C235" s="45"/>
      <c r="D235" s="9"/>
      <c r="E235" s="223"/>
      <c r="F235" s="223"/>
      <c r="G235" s="223"/>
      <c r="J235" s="47"/>
      <c r="K235" s="11"/>
    </row>
    <row r="236" spans="1:11" s="51" customFormat="1">
      <c r="A236" s="29"/>
      <c r="B236" s="13"/>
      <c r="C236" s="45"/>
      <c r="D236" s="9"/>
      <c r="E236" s="223"/>
      <c r="F236" s="223"/>
      <c r="G236" s="223"/>
      <c r="J236" s="47"/>
      <c r="K236" s="11"/>
    </row>
    <row r="237" spans="1:11" s="51" customFormat="1">
      <c r="A237" s="29"/>
      <c r="B237" s="13"/>
      <c r="C237" s="45"/>
      <c r="D237" s="9"/>
      <c r="E237" s="223"/>
      <c r="F237" s="223"/>
      <c r="G237" s="223"/>
      <c r="J237" s="47"/>
      <c r="K237" s="11"/>
    </row>
    <row r="238" spans="1:11" s="51" customFormat="1">
      <c r="A238" s="29"/>
      <c r="B238" s="13"/>
      <c r="C238" s="45"/>
      <c r="D238" s="9"/>
      <c r="E238" s="223"/>
      <c r="F238" s="223"/>
      <c r="G238" s="223"/>
      <c r="J238" s="47"/>
      <c r="K238" s="11"/>
    </row>
    <row r="239" spans="1:11" s="51" customFormat="1">
      <c r="A239" s="29"/>
      <c r="B239" s="13"/>
      <c r="C239" s="45"/>
      <c r="D239" s="9"/>
      <c r="E239" s="223"/>
      <c r="F239" s="223"/>
      <c r="G239" s="223"/>
      <c r="J239" s="47"/>
      <c r="K239" s="11"/>
    </row>
  </sheetData>
  <sheetProtection sheet="1" objects="1" scenarios="1" selectLockedCells="1" selectUnlockedCells="1"/>
  <mergeCells count="16">
    <mergeCell ref="K2:K3"/>
    <mergeCell ref="A2:A3"/>
    <mergeCell ref="B2:C3"/>
    <mergeCell ref="D2:G2"/>
    <mergeCell ref="H2:H3"/>
    <mergeCell ref="I2:I3"/>
    <mergeCell ref="J2:J3"/>
    <mergeCell ref="B62:C62"/>
    <mergeCell ref="D15:G15"/>
    <mergeCell ref="D19:G19"/>
    <mergeCell ref="D13:G14"/>
    <mergeCell ref="D5:G5"/>
    <mergeCell ref="E6:G6"/>
    <mergeCell ref="E7:G7"/>
    <mergeCell ref="E20:G20"/>
    <mergeCell ref="E21:G21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 Ltd&amp;C&amp;P of &amp;N&amp;R&amp;A</oddFooter>
  </headerFooter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8"/>
  <dimension ref="A1:K247"/>
  <sheetViews>
    <sheetView view="pageLayout" topLeftCell="A116" workbookViewId="0">
      <selection activeCell="E87" sqref="E87"/>
    </sheetView>
  </sheetViews>
  <sheetFormatPr defaultRowHeight="15"/>
  <cols>
    <col min="1" max="1" width="10.5703125" style="29" customWidth="1"/>
    <col min="2" max="2" width="10.5703125" style="13" customWidth="1"/>
    <col min="3" max="3" width="10.5703125" style="45" customWidth="1"/>
    <col min="4" max="4" width="9.28515625" style="9" bestFit="1" customWidth="1"/>
    <col min="5" max="5" width="9.28515625" style="223" customWidth="1"/>
    <col min="6" max="6" width="9.28515625" style="223" bestFit="1" customWidth="1"/>
    <col min="7" max="7" width="9.28515625" style="223" customWidth="1"/>
    <col min="8" max="8" width="10.5703125" style="51" customWidth="1"/>
    <col min="9" max="9" width="5.140625" style="51" customWidth="1"/>
    <col min="10" max="10" width="10.5703125" style="47" customWidth="1"/>
    <col min="11" max="11" width="10.5703125" style="11" customWidth="1"/>
  </cols>
  <sheetData>
    <row r="1" spans="1:11">
      <c r="A1" s="111" t="s">
        <v>278</v>
      </c>
      <c r="B1" s="60"/>
      <c r="D1" s="219"/>
      <c r="E1" s="219"/>
      <c r="F1" s="219"/>
      <c r="G1" s="219"/>
      <c r="H1" s="106"/>
      <c r="I1" s="106"/>
      <c r="J1" s="106"/>
      <c r="K1" s="61"/>
    </row>
    <row r="2" spans="1:11" s="1" customFormat="1">
      <c r="A2" s="421" t="s">
        <v>0</v>
      </c>
      <c r="B2" s="421" t="s">
        <v>1</v>
      </c>
      <c r="C2" s="433"/>
      <c r="D2" s="432" t="s">
        <v>2</v>
      </c>
      <c r="E2" s="425"/>
      <c r="F2" s="425"/>
      <c r="G2" s="433"/>
      <c r="H2" s="423" t="s">
        <v>6</v>
      </c>
      <c r="I2" s="423" t="s">
        <v>7</v>
      </c>
      <c r="J2" s="480" t="s">
        <v>8</v>
      </c>
      <c r="K2" s="434" t="s">
        <v>9</v>
      </c>
    </row>
    <row r="3" spans="1:11" s="6" customFormat="1">
      <c r="A3" s="422"/>
      <c r="B3" s="422"/>
      <c r="C3" s="461"/>
      <c r="D3" s="7" t="s">
        <v>3</v>
      </c>
      <c r="E3" s="220" t="s">
        <v>4</v>
      </c>
      <c r="F3" s="220" t="s">
        <v>5</v>
      </c>
      <c r="G3" s="220" t="s">
        <v>45</v>
      </c>
      <c r="H3" s="424"/>
      <c r="I3" s="424"/>
      <c r="J3" s="481"/>
      <c r="K3" s="435"/>
    </row>
    <row r="4" spans="1:11">
      <c r="A4" s="3"/>
      <c r="B4" s="5"/>
      <c r="C4" s="62"/>
      <c r="D4" s="8"/>
      <c r="E4" s="228"/>
      <c r="F4" s="228"/>
      <c r="G4" s="228"/>
      <c r="H4" s="5"/>
      <c r="I4" s="70"/>
      <c r="J4" s="65"/>
      <c r="K4" s="10"/>
    </row>
    <row r="5" spans="1:11" ht="15" customHeight="1">
      <c r="A5" s="27">
        <v>13</v>
      </c>
      <c r="B5" s="27">
        <v>0.8</v>
      </c>
      <c r="C5" s="218">
        <f>A5*B5</f>
        <v>10.4</v>
      </c>
      <c r="D5" s="448" t="s">
        <v>262</v>
      </c>
      <c r="E5" s="449"/>
      <c r="F5" s="449"/>
      <c r="G5" s="450"/>
    </row>
    <row r="6" spans="1:11" ht="15" customHeight="1" thickBot="1">
      <c r="A6" s="25">
        <v>26</v>
      </c>
      <c r="B6" s="25">
        <v>2.1</v>
      </c>
      <c r="C6" s="216">
        <f>A6*B6</f>
        <v>54.6</v>
      </c>
      <c r="D6" s="451"/>
      <c r="E6" s="452"/>
      <c r="F6" s="452"/>
      <c r="G6" s="453"/>
    </row>
    <row r="7" spans="1:11" ht="15.75" thickBot="1">
      <c r="A7" s="180"/>
      <c r="B7" s="179"/>
      <c r="C7" s="121">
        <f ca="1">SUM(C5:(OFFSET(C7,-1,0)))</f>
        <v>65</v>
      </c>
      <c r="D7" s="454"/>
      <c r="E7" s="455"/>
      <c r="F7" s="455"/>
      <c r="G7" s="456"/>
    </row>
    <row r="8" spans="1:11">
      <c r="D8" s="36">
        <v>0</v>
      </c>
      <c r="E8" s="31">
        <v>0</v>
      </c>
      <c r="F8" s="31">
        <v>0</v>
      </c>
      <c r="G8" s="31">
        <v>3</v>
      </c>
      <c r="H8" s="25">
        <f ca="1">$C7</f>
        <v>65</v>
      </c>
      <c r="I8" s="30" t="s">
        <v>39</v>
      </c>
      <c r="J8" s="41">
        <f>SUM(D8:G8)</f>
        <v>3</v>
      </c>
      <c r="K8" s="42">
        <f ca="1">SUM(H8*J8)</f>
        <v>195</v>
      </c>
    </row>
    <row r="10" spans="1:11" ht="15" customHeight="1">
      <c r="E10" s="420" t="s">
        <v>37</v>
      </c>
      <c r="F10" s="420"/>
    </row>
    <row r="11" spans="1:11">
      <c r="D11" s="416" t="s">
        <v>263</v>
      </c>
      <c r="E11" s="417"/>
      <c r="F11" s="417"/>
      <c r="G11" s="417"/>
    </row>
    <row r="12" spans="1:11">
      <c r="D12" s="214"/>
      <c r="E12" s="99" t="s">
        <v>74</v>
      </c>
      <c r="F12" s="99" t="s">
        <v>75</v>
      </c>
      <c r="G12" s="215"/>
    </row>
    <row r="13" spans="1:11">
      <c r="D13" s="39"/>
      <c r="E13" s="34">
        <v>2</v>
      </c>
      <c r="F13" s="34">
        <f ca="1">SUM($C7*E13)</f>
        <v>130</v>
      </c>
      <c r="G13" s="34"/>
    </row>
    <row r="14" spans="1:11" ht="15.75" customHeight="1">
      <c r="D14" s="36">
        <v>0</v>
      </c>
      <c r="E14" s="31">
        <v>0</v>
      </c>
      <c r="F14" s="31">
        <v>0</v>
      </c>
      <c r="G14" s="31">
        <v>3</v>
      </c>
      <c r="H14" s="27">
        <f ca="1">$F13</f>
        <v>130</v>
      </c>
      <c r="I14" s="30" t="s">
        <v>39</v>
      </c>
      <c r="J14" s="41">
        <f>SUM(D14:G14)</f>
        <v>3</v>
      </c>
      <c r="K14" s="42">
        <f ca="1">SUM(H14*J14)</f>
        <v>390</v>
      </c>
    </row>
    <row r="15" spans="1:11" ht="15" customHeight="1"/>
    <row r="16" spans="1:11" ht="15" customHeight="1"/>
    <row r="17" spans="1:11" ht="15" customHeight="1">
      <c r="A17" s="27">
        <v>9</v>
      </c>
      <c r="B17" s="27">
        <v>0.8</v>
      </c>
      <c r="C17" s="334">
        <f t="shared" ref="C17:C18" si="0">A17*B17</f>
        <v>7.2</v>
      </c>
      <c r="D17" s="448" t="s">
        <v>264</v>
      </c>
      <c r="E17" s="449"/>
      <c r="F17" s="449"/>
      <c r="G17" s="450"/>
      <c r="H17" s="4"/>
      <c r="I17" s="4"/>
      <c r="J17" s="4"/>
    </row>
    <row r="18" spans="1:11" ht="15" customHeight="1" thickBot="1">
      <c r="A18" s="25">
        <v>7</v>
      </c>
      <c r="B18" s="25">
        <v>1.3</v>
      </c>
      <c r="C18" s="332">
        <f t="shared" si="0"/>
        <v>9.1</v>
      </c>
      <c r="D18" s="451"/>
      <c r="E18" s="452"/>
      <c r="F18" s="452"/>
      <c r="G18" s="453"/>
      <c r="H18" s="4"/>
      <c r="I18" s="4"/>
      <c r="J18" s="4"/>
    </row>
    <row r="19" spans="1:11" ht="15" customHeight="1" thickBot="1">
      <c r="A19" s="180"/>
      <c r="B19" s="179"/>
      <c r="C19" s="121">
        <f ca="1">SUM(C17:(OFFSET(C19,-1,0)))</f>
        <v>16.3</v>
      </c>
      <c r="D19" s="454"/>
      <c r="E19" s="455"/>
      <c r="F19" s="455"/>
      <c r="G19" s="456"/>
      <c r="H19" s="4"/>
      <c r="I19" s="4"/>
      <c r="J19" s="4"/>
    </row>
    <row r="20" spans="1:11">
      <c r="D20" s="36">
        <v>0</v>
      </c>
      <c r="E20" s="31">
        <v>0</v>
      </c>
      <c r="F20" s="31">
        <v>0</v>
      </c>
      <c r="G20" s="31">
        <v>5</v>
      </c>
      <c r="H20" s="25">
        <f ca="1">$C19</f>
        <v>16.3</v>
      </c>
      <c r="I20" s="30" t="s">
        <v>39</v>
      </c>
      <c r="J20" s="41">
        <f>SUM(D20:G20)</f>
        <v>5</v>
      </c>
      <c r="K20" s="42">
        <f ca="1">SUM(H20*J20)</f>
        <v>81.5</v>
      </c>
    </row>
    <row r="21" spans="1:11" ht="15" customHeight="1"/>
    <row r="23" spans="1:11" ht="15" customHeight="1" thickBot="1">
      <c r="A23" s="3"/>
      <c r="B23" s="3"/>
      <c r="C23" s="202"/>
      <c r="D23" s="448" t="s">
        <v>260</v>
      </c>
      <c r="E23" s="449"/>
      <c r="F23" s="449"/>
      <c r="G23" s="450"/>
    </row>
    <row r="24" spans="1:11" ht="15.75" thickBot="1">
      <c r="A24" s="25">
        <v>1</v>
      </c>
      <c r="B24" s="41">
        <v>1</v>
      </c>
      <c r="C24" s="123">
        <f>A24*B24</f>
        <v>1</v>
      </c>
      <c r="D24" s="39">
        <v>0</v>
      </c>
      <c r="E24" s="34">
        <v>0</v>
      </c>
      <c r="F24" s="34">
        <v>0</v>
      </c>
      <c r="G24" s="34">
        <v>150</v>
      </c>
      <c r="H24" s="27">
        <f>$C24</f>
        <v>1</v>
      </c>
      <c r="I24" s="50" t="s">
        <v>44</v>
      </c>
      <c r="J24" s="59">
        <f>SUM(D24:G24)</f>
        <v>150</v>
      </c>
      <c r="K24" s="49">
        <f>J24*H24</f>
        <v>150</v>
      </c>
    </row>
    <row r="25" spans="1:11" ht="15" customHeight="1"/>
    <row r="27" spans="1:11">
      <c r="A27" s="3"/>
      <c r="B27" s="3"/>
      <c r="C27" s="217"/>
      <c r="D27" s="448" t="s">
        <v>261</v>
      </c>
      <c r="E27" s="449"/>
      <c r="F27" s="449"/>
      <c r="G27" s="450"/>
      <c r="H27" s="2"/>
      <c r="I27" s="2"/>
      <c r="J27" s="2"/>
      <c r="K27" s="10"/>
    </row>
    <row r="28" spans="1:11" ht="15.75" thickBot="1">
      <c r="A28" s="3"/>
      <c r="B28" s="3"/>
      <c r="C28" s="100"/>
      <c r="D28" s="439" t="s">
        <v>82</v>
      </c>
      <c r="E28" s="440"/>
      <c r="F28" s="440"/>
      <c r="G28" s="441"/>
      <c r="H28" s="2"/>
      <c r="I28" s="2"/>
      <c r="J28" s="2"/>
      <c r="K28" s="10"/>
    </row>
    <row r="29" spans="1:11" ht="15" customHeight="1" thickBot="1">
      <c r="A29" s="25">
        <v>13</v>
      </c>
      <c r="B29" s="41">
        <v>1</v>
      </c>
      <c r="C29" s="102">
        <f>A29*B29</f>
        <v>13</v>
      </c>
      <c r="D29" s="39">
        <v>0</v>
      </c>
      <c r="E29" s="34">
        <v>0</v>
      </c>
      <c r="F29" s="34">
        <v>0</v>
      </c>
      <c r="G29" s="34">
        <v>35</v>
      </c>
      <c r="H29" s="27">
        <f>$C29</f>
        <v>13</v>
      </c>
      <c r="I29" s="50" t="s">
        <v>44</v>
      </c>
      <c r="J29" s="59">
        <f>SUM(D29:G29)</f>
        <v>35</v>
      </c>
      <c r="K29" s="49">
        <f>J29*H29</f>
        <v>455</v>
      </c>
    </row>
    <row r="30" spans="1:11" ht="15" customHeight="1"/>
    <row r="32" spans="1:11">
      <c r="A32" s="27">
        <v>6</v>
      </c>
      <c r="B32" s="27">
        <v>8.25</v>
      </c>
      <c r="C32" s="334">
        <f>A32*B32</f>
        <v>49.5</v>
      </c>
      <c r="D32" s="448" t="s">
        <v>265</v>
      </c>
      <c r="E32" s="449"/>
      <c r="F32" s="449"/>
      <c r="G32" s="450"/>
    </row>
    <row r="33" spans="1:11">
      <c r="A33" s="27">
        <v>8</v>
      </c>
      <c r="B33" s="27">
        <v>5.45</v>
      </c>
      <c r="C33" s="334">
        <f>A33*B33</f>
        <v>43.6</v>
      </c>
      <c r="D33" s="451"/>
      <c r="E33" s="452"/>
      <c r="F33" s="452"/>
      <c r="G33" s="453"/>
    </row>
    <row r="34" spans="1:11" ht="15" customHeight="1">
      <c r="A34" s="27">
        <v>4</v>
      </c>
      <c r="B34" s="27">
        <v>10.25</v>
      </c>
      <c r="C34" s="334">
        <f>A34*B34</f>
        <v>41</v>
      </c>
      <c r="D34" s="454"/>
      <c r="E34" s="455"/>
      <c r="F34" s="455"/>
      <c r="G34" s="456"/>
    </row>
    <row r="35" spans="1:11">
      <c r="A35" s="27">
        <v>2</v>
      </c>
      <c r="B35" s="27">
        <v>3.3</v>
      </c>
      <c r="C35" s="334">
        <f>A35*B35</f>
        <v>6.6</v>
      </c>
      <c r="D35" s="36">
        <v>0</v>
      </c>
      <c r="E35" s="31">
        <v>0</v>
      </c>
      <c r="F35" s="31">
        <v>0</v>
      </c>
      <c r="G35" s="31">
        <v>3</v>
      </c>
      <c r="H35" s="25">
        <f ca="1">C47</f>
        <v>152.99999999999997</v>
      </c>
      <c r="I35" s="30" t="s">
        <v>39</v>
      </c>
      <c r="J35" s="41">
        <f>SUM(D35:G35)</f>
        <v>3</v>
      </c>
      <c r="K35" s="42">
        <f ca="1">SUM(H35*J35)</f>
        <v>458.99999999999989</v>
      </c>
    </row>
    <row r="36" spans="1:11">
      <c r="A36" s="25">
        <v>2</v>
      </c>
      <c r="B36" s="25">
        <v>2.75</v>
      </c>
      <c r="C36" s="334">
        <f>A36*B36</f>
        <v>5.5</v>
      </c>
      <c r="D36" s="8"/>
      <c r="E36" s="228"/>
      <c r="F36" s="228"/>
      <c r="G36" s="228"/>
      <c r="H36" s="5"/>
      <c r="I36" s="70"/>
      <c r="J36" s="65"/>
      <c r="K36" s="10"/>
    </row>
    <row r="37" spans="1:11">
      <c r="A37" s="27">
        <v>2</v>
      </c>
      <c r="B37" s="27">
        <v>4.25</v>
      </c>
      <c r="C37" s="334">
        <f t="shared" ref="C37:C40" si="1">A37*B37</f>
        <v>8.5</v>
      </c>
      <c r="D37" s="8"/>
      <c r="E37" s="228"/>
      <c r="F37" s="228"/>
      <c r="G37" s="228"/>
      <c r="H37" s="5"/>
      <c r="I37" s="70"/>
      <c r="J37" s="65"/>
      <c r="K37" s="10"/>
    </row>
    <row r="38" spans="1:11">
      <c r="A38" s="27">
        <v>5</v>
      </c>
      <c r="B38" s="27">
        <v>1</v>
      </c>
      <c r="C38" s="334">
        <f t="shared" si="1"/>
        <v>5</v>
      </c>
      <c r="D38" s="8"/>
      <c r="E38" s="228"/>
      <c r="F38" s="228"/>
      <c r="G38" s="228"/>
      <c r="H38" s="5"/>
      <c r="I38" s="70"/>
      <c r="J38" s="65"/>
      <c r="K38" s="10"/>
    </row>
    <row r="39" spans="1:11" ht="15" customHeight="1">
      <c r="A39" s="25">
        <v>4</v>
      </c>
      <c r="B39" s="25">
        <v>4.5</v>
      </c>
      <c r="C39" s="334">
        <f t="shared" si="1"/>
        <v>18</v>
      </c>
      <c r="D39" s="8"/>
      <c r="E39" s="228"/>
      <c r="F39" s="228"/>
      <c r="G39" s="228"/>
      <c r="H39" s="5"/>
      <c r="I39" s="70"/>
      <c r="J39" s="65"/>
      <c r="K39" s="10"/>
    </row>
    <row r="40" spans="1:11" ht="15.75" thickBot="1">
      <c r="A40" s="27">
        <v>2</v>
      </c>
      <c r="B40" s="27">
        <v>1.3</v>
      </c>
      <c r="C40" s="334">
        <f t="shared" si="1"/>
        <v>2.6</v>
      </c>
      <c r="D40" s="8"/>
      <c r="E40" s="228"/>
      <c r="F40" s="228"/>
      <c r="G40" s="228"/>
      <c r="H40" s="5"/>
      <c r="I40" s="70"/>
      <c r="J40" s="65"/>
      <c r="K40" s="10"/>
    </row>
    <row r="41" spans="1:11" ht="15.75" thickBot="1">
      <c r="A41" s="25"/>
      <c r="B41" s="80" t="s">
        <v>38</v>
      </c>
      <c r="C41" s="121">
        <f ca="1">SUM(C32:(OFFSET(C41,-1,0)))</f>
        <v>180.29999999999998</v>
      </c>
      <c r="D41" s="8"/>
      <c r="E41" s="228"/>
      <c r="F41" s="228"/>
      <c r="G41" s="228"/>
      <c r="H41" s="5"/>
      <c r="I41" s="70"/>
      <c r="J41" s="65"/>
      <c r="K41" s="10"/>
    </row>
    <row r="42" spans="1:11">
      <c r="A42" s="27">
        <v>26</v>
      </c>
      <c r="B42" s="27">
        <v>0.8</v>
      </c>
      <c r="C42" s="334">
        <f>A42*B42</f>
        <v>20.8</v>
      </c>
      <c r="D42" s="8"/>
      <c r="E42" s="228"/>
      <c r="F42" s="228"/>
      <c r="G42" s="228"/>
      <c r="H42" s="5"/>
      <c r="I42" s="70"/>
      <c r="J42" s="65"/>
      <c r="K42" s="10"/>
    </row>
    <row r="43" spans="1:11">
      <c r="A43" s="27">
        <v>2</v>
      </c>
      <c r="B43" s="27">
        <v>0.9</v>
      </c>
      <c r="C43" s="334">
        <f>A43*B43</f>
        <v>1.8</v>
      </c>
      <c r="D43" s="8"/>
      <c r="E43" s="228"/>
      <c r="F43" s="228"/>
      <c r="G43" s="228"/>
      <c r="H43" s="5"/>
      <c r="I43" s="70"/>
      <c r="J43" s="65"/>
      <c r="K43" s="10"/>
    </row>
    <row r="44" spans="1:11" ht="15" customHeight="1">
      <c r="A44" s="27">
        <v>1</v>
      </c>
      <c r="B44" s="27">
        <v>2.9</v>
      </c>
      <c r="C44" s="334">
        <f>A44*B44</f>
        <v>2.9</v>
      </c>
      <c r="D44" s="8"/>
      <c r="E44" s="337"/>
      <c r="F44" s="337"/>
      <c r="G44" s="337"/>
      <c r="H44" s="5"/>
      <c r="I44" s="70"/>
      <c r="J44" s="65"/>
      <c r="K44" s="10"/>
    </row>
    <row r="45" spans="1:11">
      <c r="A45" s="27">
        <v>1</v>
      </c>
      <c r="B45" s="27">
        <v>1.8</v>
      </c>
      <c r="C45" s="334">
        <f>A45*B45</f>
        <v>1.8</v>
      </c>
      <c r="D45" s="8"/>
      <c r="E45" s="337"/>
      <c r="F45" s="337"/>
      <c r="G45" s="337"/>
      <c r="H45" s="5"/>
      <c r="I45" s="70"/>
      <c r="J45" s="65"/>
      <c r="K45" s="10"/>
    </row>
    <row r="46" spans="1:11" ht="15.75" thickBot="1">
      <c r="C46" s="283">
        <f ca="1">SUM(C42:(OFFSET(C46,-1,0)))</f>
        <v>27.3</v>
      </c>
    </row>
    <row r="47" spans="1:11" ht="15.75" thickBot="1">
      <c r="B47" s="29"/>
      <c r="C47" s="101">
        <f ca="1">C41-C46</f>
        <v>152.99999999999997</v>
      </c>
    </row>
    <row r="49" spans="1:11">
      <c r="D49" s="103"/>
    </row>
    <row r="50" spans="1:11">
      <c r="A50" s="41">
        <v>1</v>
      </c>
      <c r="B50" s="41">
        <v>76.09</v>
      </c>
      <c r="C50" s="447">
        <f>A50*(B50*B51)</f>
        <v>76.09</v>
      </c>
      <c r="D50" s="408" t="s">
        <v>84</v>
      </c>
      <c r="E50" s="409"/>
      <c r="F50" s="409"/>
      <c r="G50" s="409"/>
    </row>
    <row r="51" spans="1:11" ht="15" customHeight="1">
      <c r="A51" s="41"/>
      <c r="B51" s="41">
        <v>1</v>
      </c>
      <c r="C51" s="447"/>
      <c r="D51" s="408"/>
      <c r="E51" s="409"/>
      <c r="F51" s="409"/>
      <c r="G51" s="409"/>
    </row>
    <row r="52" spans="1:11" ht="15" customHeight="1">
      <c r="A52" s="41">
        <v>1</v>
      </c>
      <c r="B52" s="41">
        <v>67.010000000000005</v>
      </c>
      <c r="C52" s="447">
        <f>A52*(B52*B53)</f>
        <v>67.010000000000005</v>
      </c>
      <c r="D52" s="39">
        <v>0</v>
      </c>
      <c r="E52" s="34">
        <v>0</v>
      </c>
      <c r="F52" s="34">
        <v>0</v>
      </c>
      <c r="G52" s="34">
        <v>6</v>
      </c>
      <c r="H52" s="27">
        <f ca="1">C$64</f>
        <v>571.7700000000001</v>
      </c>
      <c r="I52" s="30" t="s">
        <v>13</v>
      </c>
      <c r="J52" s="41">
        <f>SUM(D52:G52)</f>
        <v>6</v>
      </c>
      <c r="K52" s="42">
        <f ca="1">SUM(H52*J52)</f>
        <v>3430.6200000000008</v>
      </c>
    </row>
    <row r="53" spans="1:11">
      <c r="A53" s="41"/>
      <c r="B53" s="41">
        <v>1</v>
      </c>
      <c r="C53" s="447"/>
    </row>
    <row r="54" spans="1:11">
      <c r="A54" s="41">
        <v>1</v>
      </c>
      <c r="B54" s="41">
        <v>143.86000000000001</v>
      </c>
      <c r="C54" s="447">
        <f>A54*(B54*B55)</f>
        <v>143.86000000000001</v>
      </c>
    </row>
    <row r="55" spans="1:11" ht="15" customHeight="1">
      <c r="A55" s="41"/>
      <c r="B55" s="41">
        <v>1</v>
      </c>
      <c r="C55" s="447"/>
    </row>
    <row r="56" spans="1:11">
      <c r="A56" s="41">
        <v>1</v>
      </c>
      <c r="B56" s="41">
        <v>3.31</v>
      </c>
      <c r="C56" s="447">
        <f>A56*(B56*B57)</f>
        <v>3.31</v>
      </c>
    </row>
    <row r="57" spans="1:11">
      <c r="A57" s="41"/>
      <c r="B57" s="41">
        <v>1</v>
      </c>
      <c r="C57" s="447"/>
    </row>
    <row r="58" spans="1:11">
      <c r="A58" s="41">
        <v>1</v>
      </c>
      <c r="B58" s="41">
        <v>92.63</v>
      </c>
      <c r="C58" s="447">
        <f>A58*(B58*B59)</f>
        <v>92.63</v>
      </c>
    </row>
    <row r="59" spans="1:11" ht="15" customHeight="1">
      <c r="A59" s="41"/>
      <c r="B59" s="41">
        <v>1</v>
      </c>
      <c r="C59" s="447"/>
    </row>
    <row r="60" spans="1:11" ht="15" customHeight="1">
      <c r="A60" s="41">
        <v>1</v>
      </c>
      <c r="B60" s="41">
        <v>173.42</v>
      </c>
      <c r="C60" s="447">
        <f>A60*(B60*B61)</f>
        <v>173.42</v>
      </c>
    </row>
    <row r="61" spans="1:11">
      <c r="A61" s="41"/>
      <c r="B61" s="41">
        <v>1</v>
      </c>
      <c r="C61" s="447"/>
    </row>
    <row r="62" spans="1:11">
      <c r="A62" s="41">
        <v>1</v>
      </c>
      <c r="B62" s="41">
        <v>15.45</v>
      </c>
      <c r="C62" s="447">
        <f>A62*(B62*B63)</f>
        <v>15.45</v>
      </c>
    </row>
    <row r="63" spans="1:11" ht="15" customHeight="1" thickBot="1">
      <c r="A63" s="41"/>
      <c r="B63" s="41">
        <v>1</v>
      </c>
      <c r="C63" s="447"/>
    </row>
    <row r="64" spans="1:11" ht="15.75" thickBot="1">
      <c r="A64" s="3"/>
      <c r="B64" s="179"/>
      <c r="C64" s="121">
        <f ca="1">SUM(C50:(OFFSET(C64,-1,0)))</f>
        <v>571.7700000000001</v>
      </c>
    </row>
    <row r="65" spans="1:7" ht="15" customHeight="1">
      <c r="A65" s="3"/>
      <c r="B65" s="3"/>
      <c r="C65" s="260"/>
      <c r="E65" s="335"/>
      <c r="F65" s="335"/>
      <c r="G65" s="335"/>
    </row>
    <row r="66" spans="1:7" ht="15.75" customHeight="1">
      <c r="A66" s="3"/>
      <c r="B66" s="3"/>
      <c r="C66" s="261"/>
      <c r="E66" s="335"/>
      <c r="F66" s="335"/>
      <c r="G66" s="335"/>
    </row>
    <row r="67" spans="1:7">
      <c r="A67" s="3"/>
      <c r="B67" s="3"/>
      <c r="C67" s="261"/>
      <c r="E67" s="335"/>
      <c r="F67" s="335"/>
      <c r="G67" s="335"/>
    </row>
    <row r="68" spans="1:7">
      <c r="A68" s="3"/>
      <c r="B68" s="3"/>
      <c r="C68" s="261"/>
      <c r="E68" s="335"/>
      <c r="F68" s="335"/>
      <c r="G68" s="335"/>
    </row>
    <row r="69" spans="1:7">
      <c r="A69" s="3"/>
      <c r="B69" s="3"/>
      <c r="C69" s="261"/>
      <c r="E69" s="335"/>
      <c r="F69" s="335"/>
      <c r="G69" s="335"/>
    </row>
    <row r="70" spans="1:7">
      <c r="A70" s="3"/>
      <c r="B70" s="3"/>
      <c r="C70" s="261"/>
      <c r="E70" s="335"/>
      <c r="F70" s="335"/>
      <c r="G70" s="335"/>
    </row>
    <row r="71" spans="1:7" ht="15.75" customHeight="1">
      <c r="A71" s="3"/>
      <c r="B71" s="3"/>
      <c r="C71" s="261"/>
      <c r="E71" s="335"/>
      <c r="F71" s="335"/>
      <c r="G71" s="335"/>
    </row>
    <row r="72" spans="1:7">
      <c r="A72" s="3"/>
      <c r="B72" s="3"/>
      <c r="C72" s="261"/>
      <c r="E72" s="335"/>
      <c r="F72" s="335"/>
      <c r="G72" s="335"/>
    </row>
    <row r="73" spans="1:7">
      <c r="A73" s="3"/>
      <c r="B73" s="3"/>
      <c r="C73" s="261"/>
      <c r="E73" s="335"/>
      <c r="F73" s="335"/>
      <c r="G73" s="335"/>
    </row>
    <row r="74" spans="1:7" ht="15" customHeight="1">
      <c r="A74" s="3"/>
      <c r="B74" s="3"/>
      <c r="C74" s="261"/>
      <c r="E74" s="335"/>
      <c r="F74" s="335"/>
      <c r="G74" s="335"/>
    </row>
    <row r="75" spans="1:7">
      <c r="A75" s="3"/>
      <c r="B75" s="3"/>
      <c r="C75" s="261"/>
      <c r="E75" s="335"/>
      <c r="F75" s="335"/>
      <c r="G75" s="335"/>
    </row>
    <row r="76" spans="1:7" ht="15.75" customHeight="1">
      <c r="A76" s="3"/>
      <c r="B76" s="3"/>
      <c r="C76" s="261"/>
      <c r="E76" s="335"/>
      <c r="F76" s="335"/>
      <c r="G76" s="335"/>
    </row>
    <row r="77" spans="1:7">
      <c r="A77" s="3"/>
      <c r="B77" s="3"/>
      <c r="C77" s="261"/>
      <c r="E77" s="335"/>
      <c r="F77" s="335"/>
      <c r="G77" s="335"/>
    </row>
    <row r="78" spans="1:7">
      <c r="A78" s="3"/>
      <c r="B78" s="3"/>
      <c r="C78" s="261"/>
      <c r="E78" s="335"/>
      <c r="F78" s="335"/>
      <c r="G78" s="335"/>
    </row>
    <row r="79" spans="1:7" ht="15.75" customHeight="1">
      <c r="A79" s="3"/>
      <c r="B79" s="3"/>
      <c r="C79" s="261"/>
      <c r="E79" s="335"/>
      <c r="F79" s="335"/>
      <c r="G79" s="335"/>
    </row>
    <row r="80" spans="1:7">
      <c r="A80" s="3"/>
      <c r="B80" s="3"/>
      <c r="C80" s="261"/>
      <c r="E80" s="335"/>
      <c r="F80" s="335"/>
      <c r="G80" s="335"/>
    </row>
    <row r="81" spans="1:7">
      <c r="A81" s="3"/>
      <c r="B81" s="3"/>
      <c r="C81" s="261"/>
      <c r="E81" s="335"/>
      <c r="F81" s="335"/>
      <c r="G81" s="335"/>
    </row>
    <row r="82" spans="1:7">
      <c r="A82" s="3"/>
      <c r="B82" s="3"/>
      <c r="C82" s="261"/>
      <c r="E82" s="335"/>
      <c r="F82" s="335"/>
      <c r="G82" s="335"/>
    </row>
    <row r="83" spans="1:7" ht="15" customHeight="1">
      <c r="A83" s="3"/>
      <c r="B83" s="3"/>
      <c r="C83" s="261"/>
      <c r="E83" s="335"/>
      <c r="F83" s="335"/>
      <c r="G83" s="335"/>
    </row>
    <row r="84" spans="1:7">
      <c r="A84" s="3"/>
      <c r="B84" s="3"/>
      <c r="C84" s="261"/>
      <c r="E84" s="335"/>
      <c r="F84" s="335"/>
      <c r="G84" s="335"/>
    </row>
    <row r="85" spans="1:7">
      <c r="A85" s="3"/>
      <c r="B85" s="3"/>
      <c r="C85" s="261"/>
      <c r="E85" s="335"/>
      <c r="F85" s="335"/>
      <c r="G85" s="335"/>
    </row>
    <row r="86" spans="1:7">
      <c r="A86" s="3"/>
      <c r="B86" s="3"/>
      <c r="C86" s="261"/>
      <c r="E86" s="335"/>
      <c r="F86" s="335"/>
      <c r="G86" s="335"/>
    </row>
    <row r="87" spans="1:7">
      <c r="C87" s="75"/>
    </row>
    <row r="88" spans="1:7" ht="15" customHeight="1"/>
    <row r="93" spans="1:7" ht="15.75" customHeight="1"/>
    <row r="100" spans="5:7">
      <c r="E100" s="335"/>
      <c r="F100" s="335"/>
      <c r="G100" s="335"/>
    </row>
    <row r="101" spans="5:7">
      <c r="E101" s="335"/>
      <c r="F101" s="335"/>
      <c r="G101" s="335"/>
    </row>
    <row r="102" spans="5:7">
      <c r="E102" s="335"/>
      <c r="F102" s="335"/>
      <c r="G102" s="335"/>
    </row>
    <row r="103" spans="5:7">
      <c r="E103" s="335"/>
      <c r="F103" s="335"/>
      <c r="G103" s="335"/>
    </row>
    <row r="104" spans="5:7">
      <c r="E104" s="335"/>
      <c r="F104" s="335"/>
      <c r="G104" s="335"/>
    </row>
    <row r="105" spans="5:7">
      <c r="E105" s="335"/>
      <c r="F105" s="335"/>
      <c r="G105" s="335"/>
    </row>
    <row r="106" spans="5:7">
      <c r="E106" s="335"/>
      <c r="F106" s="335"/>
      <c r="G106" s="335"/>
    </row>
    <row r="107" spans="5:7">
      <c r="E107" s="335"/>
      <c r="F107" s="335"/>
      <c r="G107" s="335"/>
    </row>
    <row r="108" spans="5:7">
      <c r="E108" s="335"/>
      <c r="F108" s="335"/>
      <c r="G108" s="335"/>
    </row>
    <row r="119" spans="1:11">
      <c r="E119" s="335"/>
      <c r="F119" s="335"/>
      <c r="G119" s="335"/>
    </row>
    <row r="120" spans="1:11" s="9" customFormat="1">
      <c r="A120" s="29"/>
      <c r="B120" s="13"/>
      <c r="C120" s="45"/>
      <c r="E120" s="223"/>
      <c r="F120" s="223"/>
      <c r="G120" s="223"/>
      <c r="H120" s="51"/>
      <c r="I120" s="51"/>
      <c r="J120" s="47"/>
      <c r="K120" s="11"/>
    </row>
    <row r="121" spans="1:11" s="9" customFormat="1">
      <c r="A121" s="29"/>
      <c r="B121" s="13"/>
      <c r="C121" s="45"/>
      <c r="E121" s="223"/>
      <c r="F121" s="223"/>
      <c r="G121" s="223"/>
      <c r="H121" s="51"/>
      <c r="I121" s="51"/>
      <c r="J121" s="47"/>
      <c r="K121" s="11"/>
    </row>
    <row r="122" spans="1:11" s="9" customFormat="1">
      <c r="A122" s="29"/>
      <c r="B122" s="13"/>
      <c r="C122" s="45"/>
      <c r="E122" s="223"/>
      <c r="F122" s="223"/>
      <c r="G122" s="223"/>
      <c r="H122" s="51"/>
      <c r="I122" s="51"/>
      <c r="J122" s="47"/>
      <c r="K122" s="11"/>
    </row>
    <row r="123" spans="1:11" s="9" customFormat="1">
      <c r="A123" s="29"/>
      <c r="B123" s="13"/>
      <c r="C123" s="45"/>
      <c r="E123" s="223"/>
      <c r="F123" s="223"/>
      <c r="G123" s="223"/>
      <c r="H123" s="51"/>
      <c r="I123" s="51"/>
      <c r="J123" s="47"/>
      <c r="K123" s="11"/>
    </row>
    <row r="124" spans="1:11" s="9" customFormat="1">
      <c r="A124" s="29"/>
      <c r="B124" s="13"/>
      <c r="C124" s="45"/>
      <c r="E124" s="223"/>
      <c r="F124" s="223"/>
      <c r="G124" s="223"/>
      <c r="H124" s="51"/>
      <c r="I124" s="51"/>
      <c r="J124" s="47"/>
      <c r="K124" s="11"/>
    </row>
    <row r="125" spans="1:11" s="9" customFormat="1" ht="15.75" thickBot="1">
      <c r="A125" s="29"/>
      <c r="B125" s="13"/>
      <c r="C125" s="45"/>
      <c r="E125" s="223"/>
      <c r="F125" s="223"/>
      <c r="G125" s="223"/>
      <c r="H125" s="51"/>
      <c r="I125" s="51"/>
      <c r="J125" s="47"/>
      <c r="K125" s="11"/>
    </row>
    <row r="126" spans="1:11" s="9" customFormat="1" ht="17.25" thickTop="1" thickBot="1">
      <c r="A126" s="29"/>
      <c r="B126" s="405" t="s">
        <v>36</v>
      </c>
      <c r="C126" s="406"/>
      <c r="D126" s="72">
        <f ca="1">SUMPRODUCT(D1:D125,$H1:$H125)</f>
        <v>0</v>
      </c>
      <c r="E126" s="72">
        <f ca="1">SUMPRODUCT(E1:E125,$H1:$H125)</f>
        <v>0</v>
      </c>
      <c r="F126" s="72">
        <f ca="1">SUMPRODUCT(F1:F125,$H1:$H125)</f>
        <v>0</v>
      </c>
      <c r="G126" s="72">
        <f ca="1">SUMPRODUCT(G1:G125,$H1:$H125)</f>
        <v>5161.1200000000008</v>
      </c>
      <c r="H126" s="57">
        <f ca="1">SUM(D126:G126)</f>
        <v>5161.1200000000008</v>
      </c>
      <c r="I126" s="54"/>
      <c r="J126" s="199"/>
      <c r="K126" s="56">
        <f ca="1">SUM(K5:K125)</f>
        <v>5161.1200000000008</v>
      </c>
    </row>
    <row r="127" spans="1:11" s="9" customFormat="1">
      <c r="A127" s="29"/>
      <c r="B127" s="29"/>
      <c r="C127" s="14"/>
      <c r="E127" s="223"/>
      <c r="F127" s="223"/>
      <c r="G127" s="17"/>
      <c r="H127" s="4"/>
      <c r="I127" s="4"/>
      <c r="J127" s="4"/>
      <c r="K127" s="58" t="str">
        <f ca="1">IF((H126+J126)=K126,"Correct")</f>
        <v>Correct</v>
      </c>
    </row>
    <row r="128" spans="1:11" s="9" customFormat="1">
      <c r="A128" s="29"/>
      <c r="B128" s="13"/>
      <c r="C128" s="45"/>
      <c r="E128" s="223"/>
      <c r="F128" s="223"/>
      <c r="G128" s="223"/>
      <c r="H128" s="51"/>
      <c r="I128" s="51"/>
      <c r="J128" s="47"/>
      <c r="K128" s="11"/>
    </row>
    <row r="129" spans="1:11" s="9" customFormat="1">
      <c r="A129" s="29"/>
      <c r="B129" s="13"/>
      <c r="C129" s="45"/>
      <c r="E129" s="223"/>
      <c r="F129" s="223"/>
      <c r="G129" s="223"/>
      <c r="H129" s="51"/>
      <c r="I129" s="51"/>
      <c r="J129" s="47"/>
      <c r="K129" s="11"/>
    </row>
    <row r="130" spans="1:11" s="9" customFormat="1">
      <c r="A130" s="29"/>
      <c r="B130" s="13"/>
      <c r="C130" s="45"/>
      <c r="E130" s="223"/>
      <c r="F130" s="223"/>
      <c r="G130" s="223"/>
      <c r="H130" s="51"/>
      <c r="I130" s="51"/>
      <c r="J130" s="47"/>
      <c r="K130" s="11"/>
    </row>
    <row r="131" spans="1:11" s="9" customFormat="1">
      <c r="A131" s="29"/>
      <c r="B131" s="13"/>
      <c r="C131" s="45"/>
      <c r="E131" s="223"/>
      <c r="F131" s="223"/>
      <c r="G131" s="223"/>
      <c r="H131" s="51"/>
      <c r="I131" s="51"/>
      <c r="J131" s="47"/>
      <c r="K131" s="11"/>
    </row>
    <row r="132" spans="1:11" s="9" customFormat="1">
      <c r="A132" s="29"/>
      <c r="B132" s="13"/>
      <c r="C132" s="45"/>
      <c r="E132" s="223"/>
      <c r="F132" s="223"/>
      <c r="G132" s="223"/>
      <c r="H132" s="51"/>
      <c r="I132" s="51"/>
      <c r="J132" s="47"/>
      <c r="K132" s="11"/>
    </row>
    <row r="133" spans="1:11" s="9" customFormat="1">
      <c r="A133" s="29"/>
      <c r="B133" s="13"/>
      <c r="C133" s="45"/>
      <c r="E133" s="223"/>
      <c r="F133" s="223"/>
      <c r="G133" s="223"/>
      <c r="H133" s="51"/>
      <c r="I133" s="51"/>
      <c r="J133" s="47"/>
      <c r="K133" s="11"/>
    </row>
    <row r="134" spans="1:11" s="9" customFormat="1">
      <c r="A134" s="29"/>
      <c r="B134" s="13"/>
      <c r="C134" s="45"/>
      <c r="E134" s="223"/>
      <c r="F134" s="223"/>
      <c r="G134" s="223"/>
      <c r="H134" s="51"/>
      <c r="I134" s="51"/>
      <c r="J134" s="47"/>
      <c r="K134" s="11"/>
    </row>
    <row r="135" spans="1:11" s="9" customFormat="1">
      <c r="A135" s="29"/>
      <c r="B135" s="13"/>
      <c r="C135" s="45"/>
      <c r="E135" s="223"/>
      <c r="F135" s="223"/>
      <c r="G135" s="223"/>
      <c r="H135" s="51"/>
      <c r="I135" s="51"/>
      <c r="J135" s="47"/>
      <c r="K135" s="11"/>
    </row>
    <row r="146" ht="15" customHeight="1"/>
    <row r="148" ht="15.75" customHeight="1"/>
    <row r="152" ht="15" customHeight="1"/>
    <row r="196" ht="15" customHeight="1"/>
    <row r="216" spans="1:11" s="51" customFormat="1">
      <c r="A216" s="29"/>
      <c r="B216" s="13"/>
      <c r="C216" s="45"/>
      <c r="D216" s="9"/>
      <c r="E216" s="223"/>
      <c r="F216" s="223"/>
      <c r="G216" s="223"/>
      <c r="J216" s="47"/>
      <c r="K216" s="11"/>
    </row>
    <row r="217" spans="1:11" s="51" customFormat="1">
      <c r="A217" s="29"/>
      <c r="B217" s="13"/>
      <c r="C217" s="45"/>
      <c r="D217" s="9"/>
      <c r="E217" s="223"/>
      <c r="F217" s="223"/>
      <c r="G217" s="223"/>
      <c r="J217" s="47"/>
      <c r="K217" s="11"/>
    </row>
    <row r="218" spans="1:11" s="51" customFormat="1">
      <c r="A218" s="29"/>
      <c r="B218" s="13"/>
      <c r="C218" s="45"/>
      <c r="D218" s="9"/>
      <c r="E218" s="223"/>
      <c r="F218" s="223"/>
      <c r="G218" s="223"/>
      <c r="J218" s="47"/>
      <c r="K218" s="11"/>
    </row>
    <row r="219" spans="1:11" s="51" customFormat="1">
      <c r="A219" s="29"/>
      <c r="B219" s="13"/>
      <c r="C219" s="45"/>
      <c r="D219" s="9"/>
      <c r="E219" s="223"/>
      <c r="F219" s="223"/>
      <c r="G219" s="223"/>
      <c r="J219" s="47"/>
      <c r="K219" s="11"/>
    </row>
    <row r="220" spans="1:11" s="51" customFormat="1">
      <c r="A220" s="29"/>
      <c r="B220" s="13"/>
      <c r="C220" s="45"/>
      <c r="D220" s="9"/>
      <c r="E220" s="223"/>
      <c r="F220" s="223"/>
      <c r="G220" s="223"/>
      <c r="J220" s="47"/>
      <c r="K220" s="11"/>
    </row>
    <row r="221" spans="1:11" s="51" customFormat="1">
      <c r="A221" s="29"/>
      <c r="B221" s="13"/>
      <c r="C221" s="45"/>
      <c r="D221" s="9"/>
      <c r="E221" s="223"/>
      <c r="F221" s="223"/>
      <c r="G221" s="223"/>
      <c r="J221" s="47"/>
      <c r="K221" s="11"/>
    </row>
    <row r="222" spans="1:11" s="51" customFormat="1">
      <c r="A222" s="29"/>
      <c r="B222" s="13"/>
      <c r="C222" s="45"/>
      <c r="D222" s="9"/>
      <c r="E222" s="223"/>
      <c r="F222" s="223"/>
      <c r="G222" s="223"/>
      <c r="J222" s="47"/>
      <c r="K222" s="11"/>
    </row>
    <row r="223" spans="1:11" s="51" customFormat="1">
      <c r="A223" s="29"/>
      <c r="B223" s="13"/>
      <c r="C223" s="45"/>
      <c r="D223" s="9"/>
      <c r="E223" s="223"/>
      <c r="F223" s="223"/>
      <c r="G223" s="223"/>
      <c r="J223" s="47"/>
      <c r="K223" s="11"/>
    </row>
    <row r="224" spans="1:11" s="51" customFormat="1">
      <c r="A224" s="29"/>
      <c r="B224" s="13"/>
      <c r="C224" s="45"/>
      <c r="D224" s="9"/>
      <c r="E224" s="223"/>
      <c r="F224" s="223"/>
      <c r="G224" s="223"/>
      <c r="J224" s="47"/>
      <c r="K224" s="11"/>
    </row>
    <row r="225" spans="1:11" s="51" customFormat="1">
      <c r="A225" s="29"/>
      <c r="B225" s="13"/>
      <c r="C225" s="45"/>
      <c r="D225" s="9"/>
      <c r="E225" s="223"/>
      <c r="F225" s="223"/>
      <c r="G225" s="223"/>
      <c r="J225" s="47"/>
      <c r="K225" s="11"/>
    </row>
    <row r="226" spans="1:11" s="51" customFormat="1">
      <c r="A226" s="29"/>
      <c r="B226" s="13"/>
      <c r="C226" s="45"/>
      <c r="D226" s="9"/>
      <c r="E226" s="223"/>
      <c r="F226" s="223"/>
      <c r="G226" s="223"/>
      <c r="J226" s="47"/>
      <c r="K226" s="11"/>
    </row>
    <row r="227" spans="1:11" s="51" customFormat="1">
      <c r="A227" s="29"/>
      <c r="B227" s="13"/>
      <c r="C227" s="45"/>
      <c r="D227" s="9"/>
      <c r="E227" s="223"/>
      <c r="F227" s="223"/>
      <c r="G227" s="223"/>
      <c r="J227" s="47"/>
      <c r="K227" s="11"/>
    </row>
    <row r="228" spans="1:11" s="51" customFormat="1">
      <c r="A228" s="29"/>
      <c r="B228" s="13"/>
      <c r="C228" s="45"/>
      <c r="D228" s="9"/>
      <c r="E228" s="223"/>
      <c r="F228" s="223"/>
      <c r="G228" s="223"/>
      <c r="J228" s="47"/>
      <c r="K228" s="11"/>
    </row>
    <row r="229" spans="1:11" s="51" customFormat="1">
      <c r="A229" s="29"/>
      <c r="B229" s="13"/>
      <c r="C229" s="45"/>
      <c r="D229" s="9"/>
      <c r="E229" s="223"/>
      <c r="F229" s="223"/>
      <c r="G229" s="223"/>
      <c r="J229" s="47"/>
      <c r="K229" s="11"/>
    </row>
    <row r="230" spans="1:11" s="51" customFormat="1">
      <c r="A230" s="29"/>
      <c r="B230" s="13"/>
      <c r="C230" s="45"/>
      <c r="D230" s="9"/>
      <c r="E230" s="223"/>
      <c r="F230" s="223"/>
      <c r="G230" s="223"/>
      <c r="J230" s="47"/>
      <c r="K230" s="11"/>
    </row>
    <row r="231" spans="1:11" s="51" customFormat="1">
      <c r="A231" s="29"/>
      <c r="B231" s="13"/>
      <c r="C231" s="45"/>
      <c r="D231" s="9"/>
      <c r="E231" s="223"/>
      <c r="F231" s="223"/>
      <c r="G231" s="223"/>
      <c r="J231" s="47"/>
      <c r="K231" s="11"/>
    </row>
    <row r="232" spans="1:11" s="51" customFormat="1">
      <c r="A232" s="29"/>
      <c r="B232" s="13"/>
      <c r="C232" s="45"/>
      <c r="D232" s="9"/>
      <c r="E232" s="223"/>
      <c r="F232" s="223"/>
      <c r="G232" s="223"/>
      <c r="J232" s="47"/>
      <c r="K232" s="11"/>
    </row>
    <row r="233" spans="1:11" s="51" customFormat="1">
      <c r="A233" s="29"/>
      <c r="B233" s="13"/>
      <c r="C233" s="45"/>
      <c r="D233" s="9"/>
      <c r="E233" s="223"/>
      <c r="F233" s="223"/>
      <c r="G233" s="223"/>
      <c r="J233" s="47"/>
      <c r="K233" s="11"/>
    </row>
    <row r="234" spans="1:11" s="51" customFormat="1">
      <c r="A234" s="29"/>
      <c r="B234" s="13"/>
      <c r="C234" s="45"/>
      <c r="D234" s="9"/>
      <c r="E234" s="223"/>
      <c r="F234" s="223"/>
      <c r="G234" s="223"/>
      <c r="J234" s="47"/>
      <c r="K234" s="11"/>
    </row>
    <row r="235" spans="1:11" s="51" customFormat="1">
      <c r="A235" s="29"/>
      <c r="B235" s="13"/>
      <c r="C235" s="45"/>
      <c r="D235" s="9"/>
      <c r="E235" s="223"/>
      <c r="F235" s="223"/>
      <c r="G235" s="223"/>
      <c r="J235" s="47"/>
      <c r="K235" s="11"/>
    </row>
    <row r="236" spans="1:11" s="51" customFormat="1">
      <c r="A236" s="29"/>
      <c r="B236" s="13"/>
      <c r="C236" s="45"/>
      <c r="D236" s="9"/>
      <c r="E236" s="223"/>
      <c r="F236" s="223"/>
      <c r="G236" s="223"/>
      <c r="J236" s="47"/>
      <c r="K236" s="11"/>
    </row>
    <row r="237" spans="1:11" s="51" customFormat="1">
      <c r="A237" s="29"/>
      <c r="B237" s="13"/>
      <c r="C237" s="45"/>
      <c r="D237" s="9"/>
      <c r="E237" s="223"/>
      <c r="F237" s="223"/>
      <c r="G237" s="223"/>
      <c r="J237" s="47"/>
      <c r="K237" s="11"/>
    </row>
    <row r="238" spans="1:11" s="51" customFormat="1">
      <c r="A238" s="29"/>
      <c r="B238" s="13"/>
      <c r="C238" s="45"/>
      <c r="D238" s="9"/>
      <c r="E238" s="223"/>
      <c r="F238" s="223"/>
      <c r="G238" s="223"/>
      <c r="J238" s="47"/>
      <c r="K238" s="11"/>
    </row>
    <row r="239" spans="1:11" s="51" customFormat="1">
      <c r="A239" s="29"/>
      <c r="B239" s="13"/>
      <c r="C239" s="45"/>
      <c r="D239" s="9"/>
      <c r="E239" s="223"/>
      <c r="F239" s="223"/>
      <c r="G239" s="223"/>
      <c r="J239" s="47"/>
      <c r="K239" s="11"/>
    </row>
    <row r="240" spans="1:11" s="51" customFormat="1">
      <c r="A240" s="29"/>
      <c r="B240" s="13"/>
      <c r="C240" s="45"/>
      <c r="D240" s="9"/>
      <c r="E240" s="223"/>
      <c r="F240" s="223"/>
      <c r="G240" s="223"/>
      <c r="J240" s="47"/>
      <c r="K240" s="11"/>
    </row>
    <row r="241" spans="1:11" s="51" customFormat="1">
      <c r="A241" s="29"/>
      <c r="B241" s="13"/>
      <c r="C241" s="45"/>
      <c r="D241" s="9"/>
      <c r="E241" s="223"/>
      <c r="F241" s="223"/>
      <c r="G241" s="223"/>
      <c r="J241" s="47"/>
      <c r="K241" s="11"/>
    </row>
    <row r="242" spans="1:11" s="51" customFormat="1">
      <c r="A242" s="29"/>
      <c r="B242" s="13"/>
      <c r="C242" s="45"/>
      <c r="D242" s="9"/>
      <c r="E242" s="223"/>
      <c r="F242" s="223"/>
      <c r="G242" s="223"/>
      <c r="J242" s="47"/>
      <c r="K242" s="11"/>
    </row>
    <row r="243" spans="1:11" s="51" customFormat="1">
      <c r="A243" s="29"/>
      <c r="B243" s="13"/>
      <c r="C243" s="45"/>
      <c r="D243" s="9"/>
      <c r="E243" s="223"/>
      <c r="F243" s="223"/>
      <c r="G243" s="223"/>
      <c r="J243" s="47"/>
      <c r="K243" s="11"/>
    </row>
    <row r="244" spans="1:11" s="51" customFormat="1">
      <c r="A244" s="29"/>
      <c r="B244" s="13"/>
      <c r="C244" s="45"/>
      <c r="D244" s="9"/>
      <c r="E244" s="223"/>
      <c r="F244" s="223"/>
      <c r="G244" s="223"/>
      <c r="J244" s="47"/>
      <c r="K244" s="11"/>
    </row>
    <row r="245" spans="1:11" s="51" customFormat="1">
      <c r="A245" s="29"/>
      <c r="B245" s="13"/>
      <c r="C245" s="45"/>
      <c r="D245" s="9"/>
      <c r="E245" s="223"/>
      <c r="F245" s="223"/>
      <c r="G245" s="223"/>
      <c r="J245" s="47"/>
      <c r="K245" s="11"/>
    </row>
    <row r="246" spans="1:11" s="51" customFormat="1">
      <c r="A246" s="29"/>
      <c r="B246" s="13"/>
      <c r="C246" s="45"/>
      <c r="D246" s="9"/>
      <c r="E246" s="223"/>
      <c r="F246" s="223"/>
      <c r="G246" s="223"/>
      <c r="J246" s="47"/>
      <c r="K246" s="11"/>
    </row>
    <row r="247" spans="1:11" s="51" customFormat="1">
      <c r="A247" s="29"/>
      <c r="B247" s="13"/>
      <c r="C247" s="45"/>
      <c r="D247" s="9"/>
      <c r="E247" s="223"/>
      <c r="F247" s="223"/>
      <c r="G247" s="223"/>
      <c r="J247" s="47"/>
      <c r="K247" s="11"/>
    </row>
  </sheetData>
  <sheetProtection sheet="1" objects="1" scenarios="1" selectLockedCells="1" selectUnlockedCells="1"/>
  <mergeCells count="24">
    <mergeCell ref="K2:K3"/>
    <mergeCell ref="A2:A3"/>
    <mergeCell ref="B2:C3"/>
    <mergeCell ref="D2:G2"/>
    <mergeCell ref="H2:H3"/>
    <mergeCell ref="I2:I3"/>
    <mergeCell ref="J2:J3"/>
    <mergeCell ref="D17:G19"/>
    <mergeCell ref="D27:G27"/>
    <mergeCell ref="D11:G11"/>
    <mergeCell ref="E10:F10"/>
    <mergeCell ref="D5:G7"/>
    <mergeCell ref="B126:C126"/>
    <mergeCell ref="D23:G23"/>
    <mergeCell ref="D32:G34"/>
    <mergeCell ref="C56:C57"/>
    <mergeCell ref="C58:C59"/>
    <mergeCell ref="C60:C61"/>
    <mergeCell ref="C62:C63"/>
    <mergeCell ref="D28:G28"/>
    <mergeCell ref="C50:C51"/>
    <mergeCell ref="D50:G51"/>
    <mergeCell ref="C52:C53"/>
    <mergeCell ref="C54:C55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 Ltd&amp;C&amp;P of &amp;N&amp;R&amp;A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45"/>
  <sheetViews>
    <sheetView view="pageLayout" workbookViewId="0">
      <selection activeCell="B25" sqref="B25"/>
    </sheetView>
  </sheetViews>
  <sheetFormatPr defaultRowHeight="15"/>
  <cols>
    <col min="1" max="1" width="16.5703125" style="4" customWidth="1"/>
    <col min="2" max="2" width="33.7109375" style="4" customWidth="1"/>
    <col min="3" max="4" width="9.140625" style="29"/>
    <col min="5" max="5" width="8.140625" style="4" customWidth="1"/>
    <col min="6" max="6" width="9.140625" style="51"/>
  </cols>
  <sheetData>
    <row r="1" spans="1:6" s="143" customFormat="1" ht="21">
      <c r="A1" s="390" t="s">
        <v>112</v>
      </c>
      <c r="B1" s="390"/>
      <c r="C1" s="390"/>
      <c r="D1" s="390"/>
      <c r="E1" s="390"/>
      <c r="F1" s="390"/>
    </row>
    <row r="2" spans="1:6" s="142" customFormat="1" ht="15.75">
      <c r="A2" s="139"/>
      <c r="B2" s="140"/>
      <c r="C2" s="141"/>
      <c r="D2" s="141"/>
      <c r="E2" s="139"/>
      <c r="F2" s="139"/>
    </row>
    <row r="3" spans="1:6" s="147" customFormat="1" ht="17.25">
      <c r="A3" s="144" t="s">
        <v>106</v>
      </c>
      <c r="B3" s="144" t="s">
        <v>107</v>
      </c>
      <c r="C3" s="145" t="s">
        <v>108</v>
      </c>
      <c r="D3" s="145" t="s">
        <v>109</v>
      </c>
      <c r="E3" s="144" t="s">
        <v>110</v>
      </c>
      <c r="F3" s="146" t="s">
        <v>111</v>
      </c>
    </row>
    <row r="4" spans="1:6">
      <c r="A4" s="48"/>
      <c r="B4" s="132"/>
      <c r="C4" s="133"/>
      <c r="D4" s="133"/>
      <c r="E4" s="132"/>
      <c r="F4" s="134"/>
    </row>
    <row r="5" spans="1:6">
      <c r="A5" s="4" t="s">
        <v>242</v>
      </c>
      <c r="B5" s="50" t="s">
        <v>121</v>
      </c>
      <c r="C5" s="27">
        <f ca="1">SUM('Ground floor (Beam &amp; Block)'!G32*'Ground floor (Beam &amp; Block)'!H32)</f>
        <v>2625.5250000000001</v>
      </c>
      <c r="D5" s="27">
        <v>3000</v>
      </c>
      <c r="E5" s="50"/>
      <c r="F5" s="50"/>
    </row>
    <row r="6" spans="1:6">
      <c r="B6" s="50"/>
      <c r="C6" s="27"/>
      <c r="D6" s="27"/>
      <c r="E6" s="50"/>
      <c r="F6" s="50"/>
    </row>
    <row r="7" spans="1:6">
      <c r="B7" s="50"/>
      <c r="C7" s="27"/>
      <c r="D7" s="27"/>
      <c r="E7" s="50"/>
      <c r="F7" s="50"/>
    </row>
    <row r="8" spans="1:6">
      <c r="A8" s="114"/>
      <c r="B8" s="50"/>
      <c r="C8" s="27"/>
      <c r="D8" s="27"/>
      <c r="E8" s="50"/>
      <c r="F8" s="50"/>
    </row>
    <row r="9" spans="1:6">
      <c r="A9" s="4" t="s">
        <v>113</v>
      </c>
      <c r="B9" s="50" t="s">
        <v>121</v>
      </c>
      <c r="C9" s="27">
        <f ca="1">SUM('Ground floor (Beam &amp; Block)'!G7*'Ground floor (Beam &amp; Block)'!H7)</f>
        <v>1500.3</v>
      </c>
      <c r="D9" s="27">
        <v>1500</v>
      </c>
      <c r="E9" s="50"/>
      <c r="F9" s="50"/>
    </row>
    <row r="10" spans="1:6">
      <c r="B10" s="50"/>
      <c r="C10" s="27"/>
      <c r="D10" s="27"/>
      <c r="E10" s="50"/>
      <c r="F10" s="50"/>
    </row>
    <row r="11" spans="1:6">
      <c r="B11" s="50"/>
      <c r="C11" s="27"/>
      <c r="D11" s="27"/>
      <c r="E11" s="50"/>
      <c r="F11" s="50"/>
    </row>
    <row r="12" spans="1:6">
      <c r="A12" s="114"/>
      <c r="B12" s="50"/>
      <c r="C12" s="27"/>
      <c r="D12" s="27"/>
      <c r="E12" s="50"/>
      <c r="F12" s="50"/>
    </row>
    <row r="13" spans="1:6">
      <c r="A13" s="388" t="s">
        <v>114</v>
      </c>
      <c r="B13" s="50" t="s">
        <v>121</v>
      </c>
      <c r="C13" s="27">
        <f>'Lintels &amp; steelwork'!G34</f>
        <v>600</v>
      </c>
      <c r="D13" s="27">
        <v>600</v>
      </c>
      <c r="E13" s="50"/>
      <c r="F13" s="50"/>
    </row>
    <row r="14" spans="1:6">
      <c r="A14" s="389"/>
      <c r="B14" s="50"/>
      <c r="C14" s="27"/>
      <c r="D14" s="27"/>
      <c r="E14" s="50"/>
      <c r="F14" s="50"/>
    </row>
    <row r="15" spans="1:6">
      <c r="A15" s="129"/>
      <c r="B15" s="50"/>
      <c r="C15" s="27"/>
      <c r="D15" s="27"/>
      <c r="E15" s="50"/>
      <c r="F15" s="50"/>
    </row>
    <row r="16" spans="1:6">
      <c r="A16" s="114"/>
      <c r="B16" s="50"/>
      <c r="C16" s="27"/>
      <c r="D16" s="27"/>
      <c r="E16" s="50"/>
      <c r="F16" s="50"/>
    </row>
    <row r="17" spans="1:6">
      <c r="A17" s="388" t="s">
        <v>115</v>
      </c>
      <c r="B17" s="50" t="s">
        <v>121</v>
      </c>
      <c r="C17" s="27">
        <f>'External Joinery'!G9*'External Joinery'!H9</f>
        <v>4242.375</v>
      </c>
      <c r="D17" s="27">
        <v>4500</v>
      </c>
      <c r="E17" s="50"/>
      <c r="F17" s="50"/>
    </row>
    <row r="18" spans="1:6">
      <c r="A18" s="389"/>
      <c r="B18" s="50"/>
      <c r="C18" s="27"/>
      <c r="D18" s="27"/>
      <c r="E18" s="50"/>
      <c r="F18" s="50"/>
    </row>
    <row r="19" spans="1:6">
      <c r="A19" s="129"/>
      <c r="B19" s="50"/>
      <c r="C19" s="27"/>
      <c r="D19" s="27"/>
      <c r="E19" s="50"/>
      <c r="F19" s="50"/>
    </row>
    <row r="20" spans="1:6">
      <c r="A20" s="114"/>
      <c r="B20" s="50"/>
      <c r="C20" s="27"/>
      <c r="D20" s="27"/>
      <c r="E20" s="50"/>
      <c r="F20" s="50"/>
    </row>
    <row r="21" spans="1:6" ht="15" customHeight="1">
      <c r="A21" s="4" t="s">
        <v>56</v>
      </c>
      <c r="B21" s="50" t="s">
        <v>121</v>
      </c>
      <c r="C21" s="27">
        <f ca="1">SUM('Roof Covers'!G9*'Roof Covers'!H9)+('Roof Covers'!G15*'Roof Covers'!H15)+('Roof Covers'!G22*'Roof Covers'!H22)+('Roof Covers'!G29*'Roof Covers'!H29)+('Roof Covers'!G35*'Roof Covers'!H35)+('Roof Covers'!G39*'Roof Covers'!H39)+('Roof Covers'!G44*'Roof Covers'!H44)</f>
        <v>9335.5</v>
      </c>
      <c r="D21" s="27">
        <v>9500</v>
      </c>
      <c r="E21" s="50"/>
      <c r="F21" s="50"/>
    </row>
    <row r="22" spans="1:6">
      <c r="B22" s="50"/>
      <c r="C22" s="27"/>
      <c r="D22" s="27"/>
      <c r="E22" s="50"/>
      <c r="F22" s="50"/>
    </row>
    <row r="23" spans="1:6">
      <c r="B23" s="50"/>
      <c r="C23" s="27"/>
      <c r="D23" s="27"/>
      <c r="E23" s="50"/>
      <c r="F23" s="50"/>
    </row>
    <row r="24" spans="1:6">
      <c r="A24" s="114"/>
      <c r="B24" s="50"/>
      <c r="C24" s="27"/>
      <c r="D24" s="27"/>
      <c r="E24" s="50"/>
      <c r="F24" s="50"/>
    </row>
    <row r="25" spans="1:6">
      <c r="A25" s="388" t="s">
        <v>117</v>
      </c>
      <c r="B25" s="50" t="s">
        <v>121</v>
      </c>
      <c r="C25" s="27">
        <f ca="1">SUM('Plaster, Drylining &amp; Insulation'!G6*'Plaster, Drylining &amp; Insulation'!H6)+('Plaster, Drylining &amp; Insulation'!G10*'Plaster, Drylining &amp; Insulation'!H10)+('Plaster, Drylining &amp; Insulation'!G29*'Plaster, Drylining &amp; Insulation'!H29)+('Plaster, Drylining &amp; Insulation'!G33*'Plaster, Drylining &amp; Insulation'!H33)+('Plaster, Drylining &amp; Insulation'!G46*'Plaster, Drylining &amp; Insulation'!H46)+('Plaster, Drylining &amp; Insulation'!G52*'Plaster, Drylining &amp; Insulation'!H52)+('Plaster, Drylining &amp; Insulation'!G67*'Plaster, Drylining &amp; Insulation'!H67)+('Plaster, Drylining &amp; Insulation'!G73*'Plaster, Drylining &amp; Insulation'!H73)+('Plaster, Drylining &amp; Insulation'!G84*'Plaster, Drylining &amp; Insulation'!H84)+('Plaster, Drylining &amp; Insulation'!G134*'Plaster, Drylining &amp; Insulation'!H134)+('Plaster, Drylining &amp; Insulation'!G138*'Plaster, Drylining &amp; Insulation'!H138)+('Plaster, Drylining &amp; Insulation'!G104*'Plaster, Drylining &amp; Insulation'!H104)</f>
        <v>6547.6824999999999</v>
      </c>
      <c r="D25" s="27">
        <v>7000</v>
      </c>
      <c r="E25" s="50"/>
      <c r="F25" s="50"/>
    </row>
    <row r="26" spans="1:6">
      <c r="A26" s="389"/>
      <c r="B26" s="50"/>
      <c r="C26" s="27"/>
      <c r="D26" s="27"/>
      <c r="E26" s="50"/>
      <c r="F26" s="50"/>
    </row>
    <row r="27" spans="1:6">
      <c r="A27" s="129"/>
      <c r="B27" s="50"/>
      <c r="C27" s="27"/>
      <c r="D27" s="27"/>
      <c r="E27" s="50"/>
      <c r="F27" s="50"/>
    </row>
    <row r="28" spans="1:6">
      <c r="A28" s="114"/>
      <c r="B28" s="50"/>
      <c r="C28" s="27"/>
      <c r="D28" s="27"/>
      <c r="E28" s="50"/>
      <c r="F28" s="50"/>
    </row>
    <row r="29" spans="1:6">
      <c r="A29" s="131" t="s">
        <v>116</v>
      </c>
      <c r="B29" s="50" t="s">
        <v>121</v>
      </c>
      <c r="C29" s="27">
        <f ca="1">SUM(Painting!G8*Painting!H8)+(Painting!G14*Painting!H14)+(Painting!G20*Painting!H20)+(Painting!G24*Painting!H24)+(Painting!G29*Painting!H29)+(Painting!G35*Painting!H35)+(Painting!G52*Painting!H52)</f>
        <v>5161.1200000000008</v>
      </c>
      <c r="D29" s="27">
        <v>5200</v>
      </c>
      <c r="E29" s="50"/>
      <c r="F29" s="50"/>
    </row>
    <row r="30" spans="1:6">
      <c r="B30" s="50"/>
      <c r="C30" s="27"/>
      <c r="D30" s="27"/>
      <c r="E30" s="50"/>
      <c r="F30" s="50"/>
    </row>
    <row r="31" spans="1:6">
      <c r="B31" s="50"/>
      <c r="C31" s="27"/>
      <c r="D31" s="27"/>
      <c r="E31" s="50"/>
      <c r="F31" s="50"/>
    </row>
    <row r="32" spans="1:6">
      <c r="A32" s="114"/>
      <c r="B32" s="50"/>
      <c r="C32" s="27"/>
      <c r="D32" s="27"/>
      <c r="E32" s="50"/>
      <c r="F32" s="50"/>
    </row>
    <row r="33" spans="1:6">
      <c r="A33" s="131" t="s">
        <v>118</v>
      </c>
      <c r="B33" s="50" t="s">
        <v>121</v>
      </c>
      <c r="C33" s="27">
        <f>'M&amp;E'!G14</f>
        <v>15000</v>
      </c>
      <c r="D33" s="27">
        <v>15000</v>
      </c>
      <c r="E33" s="50"/>
      <c r="F33" s="50"/>
    </row>
    <row r="34" spans="1:6">
      <c r="B34" s="50"/>
      <c r="C34" s="27"/>
      <c r="D34" s="27"/>
      <c r="E34" s="50"/>
      <c r="F34" s="50"/>
    </row>
    <row r="35" spans="1:6">
      <c r="B35" s="50"/>
      <c r="C35" s="27"/>
      <c r="D35" s="27"/>
      <c r="E35" s="50"/>
      <c r="F35" s="50"/>
    </row>
    <row r="36" spans="1:6">
      <c r="A36" s="114"/>
      <c r="B36" s="50"/>
      <c r="C36" s="27"/>
      <c r="D36" s="27"/>
      <c r="E36" s="50"/>
      <c r="F36" s="50"/>
    </row>
    <row r="37" spans="1:6">
      <c r="A37" s="131" t="s">
        <v>119</v>
      </c>
      <c r="B37" s="50" t="s">
        <v>121</v>
      </c>
      <c r="C37" s="27">
        <f>'M&amp;E'!G21</f>
        <v>6500</v>
      </c>
      <c r="D37" s="27">
        <v>6500</v>
      </c>
      <c r="E37" s="50"/>
      <c r="F37" s="50"/>
    </row>
    <row r="38" spans="1:6">
      <c r="B38" s="50"/>
      <c r="C38" s="27"/>
      <c r="D38" s="27"/>
      <c r="E38" s="50"/>
      <c r="F38" s="50"/>
    </row>
    <row r="39" spans="1:6">
      <c r="B39" s="50"/>
      <c r="C39" s="27"/>
      <c r="D39" s="27"/>
      <c r="E39" s="50"/>
      <c r="F39" s="50"/>
    </row>
    <row r="40" spans="1:6">
      <c r="A40" s="114"/>
      <c r="B40" s="50"/>
      <c r="C40" s="27"/>
      <c r="D40" s="27"/>
      <c r="E40" s="50"/>
      <c r="F40" s="50"/>
    </row>
    <row r="41" spans="1:6">
      <c r="A41" s="131" t="s">
        <v>120</v>
      </c>
      <c r="B41" s="50" t="s">
        <v>121</v>
      </c>
      <c r="C41" s="27">
        <f ca="1">SUM('External Works'!G82*'External Works'!H82)</f>
        <v>1250</v>
      </c>
      <c r="D41" s="27">
        <v>1300</v>
      </c>
      <c r="E41" s="50"/>
      <c r="F41" s="50"/>
    </row>
    <row r="42" spans="1:6">
      <c r="B42" s="50"/>
      <c r="C42" s="27"/>
      <c r="D42" s="27"/>
      <c r="E42" s="50"/>
      <c r="F42" s="50"/>
    </row>
    <row r="43" spans="1:6">
      <c r="B43" s="50"/>
      <c r="C43" s="27"/>
      <c r="D43" s="27"/>
      <c r="E43" s="50"/>
      <c r="F43" s="50"/>
    </row>
    <row r="44" spans="1:6" ht="15.75" thickBot="1">
      <c r="A44" s="126"/>
      <c r="B44" s="50"/>
      <c r="C44" s="135"/>
      <c r="D44" s="135"/>
      <c r="E44" s="50"/>
      <c r="F44" s="125"/>
    </row>
    <row r="45" spans="1:6" ht="15.75" thickBot="1">
      <c r="A45" s="125"/>
      <c r="B45" s="236"/>
      <c r="C45" s="136" t="s">
        <v>9</v>
      </c>
      <c r="D45" s="138">
        <f>SUM(D1:D44)</f>
        <v>54100</v>
      </c>
      <c r="E45" s="132"/>
      <c r="F45" s="137"/>
    </row>
  </sheetData>
  <sheetProtection sheet="1" objects="1" scenarios="1" selectLockedCells="1" selectUnlockedCells="1"/>
  <mergeCells count="4">
    <mergeCell ref="A17:A18"/>
    <mergeCell ref="A13:A14"/>
    <mergeCell ref="A25:A26"/>
    <mergeCell ref="A1:F1"/>
  </mergeCells>
  <pageMargins left="0.7" right="0.7" top="0.75" bottom="0.75" header="0.3" footer="0.3"/>
  <pageSetup paperSize="9" orientation="portrait" horizontalDpi="4294967293" r:id="rId1"/>
  <headerFooter>
    <oddHeader>&amp;LBES: 07015&amp;R&amp;F</oddHeader>
    <oddFooter>&amp;L&amp;G B.E.S. Ltd&amp;C&amp;P of &amp;N&amp;R&amp;A</oddFoot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0"/>
  <dimension ref="A1:K63"/>
  <sheetViews>
    <sheetView view="pageLayout" topLeftCell="A40" workbookViewId="0">
      <selection activeCell="J63" sqref="J63"/>
    </sheetView>
  </sheetViews>
  <sheetFormatPr defaultRowHeight="15"/>
  <cols>
    <col min="1" max="1" width="10.5703125" style="29" customWidth="1"/>
    <col min="2" max="2" width="10.5703125" style="13" customWidth="1"/>
    <col min="3" max="3" width="10.5703125" style="45" customWidth="1"/>
    <col min="4" max="4" width="9.28515625" style="9" bestFit="1" customWidth="1"/>
    <col min="5" max="5" width="9.28515625" style="16" customWidth="1"/>
    <col min="6" max="6" width="9.28515625" style="16" bestFit="1" customWidth="1"/>
    <col min="7" max="7" width="9.28515625" style="16" customWidth="1"/>
    <col min="8" max="8" width="10.5703125" style="51" customWidth="1"/>
    <col min="9" max="9" width="5.140625" style="4" customWidth="1"/>
    <col min="10" max="10" width="10.5703125" style="4" customWidth="1"/>
    <col min="11" max="11" width="11.28515625" style="11" bestFit="1" customWidth="1"/>
  </cols>
  <sheetData>
    <row r="1" spans="1:11">
      <c r="A1" s="110" t="s">
        <v>57</v>
      </c>
      <c r="B1" s="29"/>
      <c r="D1" s="83"/>
      <c r="E1" s="83"/>
      <c r="F1" s="83"/>
      <c r="G1" s="83"/>
      <c r="H1" s="106"/>
      <c r="I1" s="106"/>
      <c r="J1" s="106"/>
      <c r="K1" s="61"/>
    </row>
    <row r="2" spans="1:11" s="1" customFormat="1">
      <c r="A2" s="421" t="s">
        <v>0</v>
      </c>
      <c r="B2" s="421" t="s">
        <v>1</v>
      </c>
      <c r="C2" s="433"/>
      <c r="D2" s="432" t="s">
        <v>2</v>
      </c>
      <c r="E2" s="425"/>
      <c r="F2" s="425"/>
      <c r="G2" s="433"/>
      <c r="H2" s="423" t="s">
        <v>6</v>
      </c>
      <c r="I2" s="430" t="s">
        <v>7</v>
      </c>
      <c r="J2" s="430" t="s">
        <v>8</v>
      </c>
      <c r="K2" s="434" t="s">
        <v>9</v>
      </c>
    </row>
    <row r="3" spans="1:11" s="6" customFormat="1">
      <c r="A3" s="422"/>
      <c r="B3" s="422"/>
      <c r="C3" s="461"/>
      <c r="D3" s="7" t="s">
        <v>3</v>
      </c>
      <c r="E3" s="40" t="s">
        <v>4</v>
      </c>
      <c r="F3" s="40" t="s">
        <v>5</v>
      </c>
      <c r="G3" s="40" t="s">
        <v>45</v>
      </c>
      <c r="H3" s="424"/>
      <c r="I3" s="431"/>
      <c r="J3" s="431"/>
      <c r="K3" s="435"/>
    </row>
    <row r="4" spans="1:11">
      <c r="A4" s="3"/>
      <c r="B4" s="5"/>
      <c r="C4" s="62"/>
      <c r="D4" s="8"/>
      <c r="E4" s="12"/>
      <c r="F4" s="12"/>
      <c r="G4" s="12"/>
      <c r="H4" s="5"/>
      <c r="I4" s="2"/>
      <c r="J4" s="3"/>
      <c r="K4" s="10"/>
    </row>
    <row r="5" spans="1:11" ht="15" customHeight="1">
      <c r="A5" s="3"/>
      <c r="B5" s="5"/>
      <c r="C5" s="62"/>
      <c r="D5" s="408" t="s">
        <v>85</v>
      </c>
      <c r="E5" s="409"/>
      <c r="F5" s="409"/>
      <c r="G5" s="409"/>
      <c r="H5" s="70"/>
      <c r="I5" s="2"/>
      <c r="J5" s="2"/>
      <c r="K5" s="10"/>
    </row>
    <row r="6" spans="1:11" ht="15.75" thickBot="1">
      <c r="A6" s="3"/>
      <c r="B6" s="5"/>
      <c r="C6" s="62"/>
      <c r="D6" s="408"/>
      <c r="E6" s="409"/>
      <c r="F6" s="409"/>
      <c r="G6" s="409"/>
      <c r="H6" s="70"/>
      <c r="I6" s="2"/>
      <c r="J6" s="2"/>
      <c r="K6" s="10"/>
    </row>
    <row r="7" spans="1:11" ht="15.75" thickBot="1">
      <c r="A7" s="3"/>
      <c r="B7" s="41" t="s">
        <v>11</v>
      </c>
      <c r="C7" s="122" t="s">
        <v>12</v>
      </c>
      <c r="D7" s="36">
        <v>0</v>
      </c>
      <c r="E7" s="31">
        <v>0</v>
      </c>
      <c r="F7" s="31">
        <v>2500</v>
      </c>
      <c r="G7" s="31">
        <v>0</v>
      </c>
      <c r="H7" s="30">
        <v>1</v>
      </c>
      <c r="I7" s="105" t="s">
        <v>86</v>
      </c>
      <c r="J7" s="41">
        <f>SUM(D7:G7)</f>
        <v>2500</v>
      </c>
      <c r="K7" s="42">
        <f>SUM(H7*J7)</f>
        <v>2500</v>
      </c>
    </row>
    <row r="8" spans="1:11">
      <c r="A8" s="3"/>
      <c r="B8" s="5"/>
      <c r="C8" s="62"/>
      <c r="D8" s="8"/>
      <c r="E8" s="12"/>
      <c r="F8" s="12"/>
      <c r="G8" s="12"/>
      <c r="H8" s="70"/>
      <c r="I8" s="2"/>
      <c r="J8" s="2"/>
      <c r="K8" s="10"/>
    </row>
    <row r="9" spans="1:11">
      <c r="A9" s="3"/>
      <c r="B9" s="5"/>
      <c r="C9" s="62"/>
      <c r="D9" s="8"/>
      <c r="E9" s="12"/>
      <c r="F9" s="12"/>
      <c r="G9" s="12"/>
      <c r="H9" s="70"/>
      <c r="I9" s="2"/>
      <c r="J9" s="2"/>
      <c r="K9" s="10"/>
    </row>
    <row r="10" spans="1:11" ht="15" customHeight="1">
      <c r="A10" s="3"/>
      <c r="B10" s="5"/>
      <c r="C10" s="62"/>
      <c r="D10" s="448" t="s">
        <v>87</v>
      </c>
      <c r="E10" s="449"/>
      <c r="F10" s="449"/>
      <c r="G10" s="450"/>
      <c r="H10" s="70"/>
      <c r="I10" s="2"/>
      <c r="J10" s="2"/>
      <c r="K10" s="10"/>
    </row>
    <row r="11" spans="1:11">
      <c r="A11" s="3"/>
      <c r="B11" s="5"/>
      <c r="C11" s="62"/>
      <c r="D11" s="451"/>
      <c r="E11" s="452"/>
      <c r="F11" s="452"/>
      <c r="G11" s="453"/>
      <c r="H11" s="70"/>
      <c r="I11" s="2"/>
      <c r="J11" s="2"/>
      <c r="K11" s="10"/>
    </row>
    <row r="12" spans="1:11">
      <c r="A12" s="3"/>
      <c r="B12" s="5"/>
      <c r="C12" s="62"/>
      <c r="D12" s="451"/>
      <c r="E12" s="452"/>
      <c r="F12" s="452"/>
      <c r="G12" s="453"/>
      <c r="H12" s="70"/>
      <c r="I12" s="2"/>
      <c r="J12" s="2"/>
      <c r="K12" s="10"/>
    </row>
    <row r="13" spans="1:11" ht="15.75" thickBot="1">
      <c r="A13" s="3"/>
      <c r="B13" s="5"/>
      <c r="C13" s="62"/>
      <c r="D13" s="454"/>
      <c r="E13" s="455"/>
      <c r="F13" s="455"/>
      <c r="G13" s="456"/>
      <c r="H13" s="70"/>
      <c r="I13" s="2"/>
      <c r="J13" s="2"/>
      <c r="K13" s="10"/>
    </row>
    <row r="14" spans="1:11" ht="15.75" thickBot="1">
      <c r="A14" s="3"/>
      <c r="B14" s="41" t="s">
        <v>11</v>
      </c>
      <c r="C14" s="122" t="s">
        <v>12</v>
      </c>
      <c r="D14" s="36">
        <v>0</v>
      </c>
      <c r="E14" s="31">
        <v>0</v>
      </c>
      <c r="F14" s="31">
        <v>0</v>
      </c>
      <c r="G14" s="31">
        <v>15000</v>
      </c>
      <c r="H14" s="30">
        <v>1</v>
      </c>
      <c r="I14" s="105" t="s">
        <v>86</v>
      </c>
      <c r="J14" s="41">
        <f>SUM(D14:G14)</f>
        <v>15000</v>
      </c>
      <c r="K14" s="42">
        <f>SUM(H14*J14)</f>
        <v>15000</v>
      </c>
    </row>
    <row r="15" spans="1:11">
      <c r="A15" s="3"/>
      <c r="B15" s="5"/>
      <c r="C15" s="62"/>
      <c r="D15" s="8"/>
      <c r="E15" s="12"/>
      <c r="F15" s="12"/>
      <c r="G15" s="12"/>
      <c r="H15" s="70"/>
      <c r="I15" s="2"/>
      <c r="J15" s="2"/>
      <c r="K15" s="10"/>
    </row>
    <row r="16" spans="1:11">
      <c r="A16" s="3"/>
      <c r="B16" s="5"/>
      <c r="C16" s="62"/>
      <c r="D16" s="8"/>
      <c r="E16" s="12"/>
      <c r="F16" s="12"/>
      <c r="G16" s="12"/>
      <c r="H16" s="70"/>
      <c r="I16" s="2"/>
      <c r="J16" s="2"/>
      <c r="K16" s="10"/>
    </row>
    <row r="17" spans="1:11">
      <c r="A17" s="3"/>
      <c r="B17" s="5"/>
      <c r="C17" s="62"/>
      <c r="D17" s="448" t="s">
        <v>88</v>
      </c>
      <c r="E17" s="449"/>
      <c r="F17" s="449"/>
      <c r="G17" s="450"/>
      <c r="H17" s="70"/>
      <c r="I17" s="2"/>
      <c r="J17" s="2"/>
      <c r="K17" s="10"/>
    </row>
    <row r="18" spans="1:11">
      <c r="A18" s="3"/>
      <c r="B18" s="5"/>
      <c r="C18" s="62"/>
      <c r="D18" s="451"/>
      <c r="E18" s="452"/>
      <c r="F18" s="452"/>
      <c r="G18" s="453"/>
      <c r="H18" s="70"/>
      <c r="I18" s="2"/>
      <c r="J18" s="2"/>
      <c r="K18" s="10"/>
    </row>
    <row r="19" spans="1:11">
      <c r="A19" s="3"/>
      <c r="B19" s="5"/>
      <c r="C19" s="62"/>
      <c r="D19" s="451"/>
      <c r="E19" s="452"/>
      <c r="F19" s="452"/>
      <c r="G19" s="453"/>
      <c r="H19" s="70"/>
      <c r="I19" s="2"/>
      <c r="J19" s="2"/>
      <c r="K19" s="10"/>
    </row>
    <row r="20" spans="1:11" ht="15.75" thickBot="1">
      <c r="A20" s="3"/>
      <c r="B20" s="5"/>
      <c r="C20" s="62"/>
      <c r="D20" s="454"/>
      <c r="E20" s="455"/>
      <c r="F20" s="455"/>
      <c r="G20" s="456"/>
      <c r="H20" s="70"/>
      <c r="I20" s="2"/>
      <c r="J20" s="2"/>
      <c r="K20" s="10"/>
    </row>
    <row r="21" spans="1:11" ht="15.75" thickBot="1">
      <c r="B21" s="41" t="s">
        <v>11</v>
      </c>
      <c r="C21" s="122" t="s">
        <v>12</v>
      </c>
      <c r="D21" s="36">
        <v>0</v>
      </c>
      <c r="E21" s="31">
        <v>0</v>
      </c>
      <c r="F21" s="31">
        <v>0</v>
      </c>
      <c r="G21" s="31">
        <v>6500</v>
      </c>
      <c r="H21" s="30">
        <v>1</v>
      </c>
      <c r="I21" s="105" t="s">
        <v>86</v>
      </c>
      <c r="J21" s="41">
        <f>SUM(D21:G21)</f>
        <v>6500</v>
      </c>
      <c r="K21" s="42">
        <f>SUM(H21*J21)</f>
        <v>6500</v>
      </c>
    </row>
    <row r="22" spans="1:11" ht="15" customHeight="1">
      <c r="D22" s="67"/>
      <c r="E22"/>
      <c r="F22"/>
      <c r="G22"/>
      <c r="K22" s="71"/>
    </row>
    <row r="24" spans="1:11">
      <c r="A24" s="3"/>
      <c r="B24" s="5"/>
      <c r="C24" s="62"/>
      <c r="D24" s="408" t="s">
        <v>939</v>
      </c>
      <c r="E24" s="409"/>
      <c r="F24" s="409"/>
      <c r="G24" s="409"/>
      <c r="H24" s="70"/>
      <c r="I24" s="2"/>
      <c r="J24" s="2"/>
      <c r="K24" s="10"/>
    </row>
    <row r="25" spans="1:11" ht="15.75" thickBot="1">
      <c r="A25" s="3"/>
      <c r="B25" s="5"/>
      <c r="C25" s="62"/>
      <c r="D25" s="408"/>
      <c r="E25" s="409"/>
      <c r="F25" s="409"/>
      <c r="G25" s="409"/>
      <c r="H25" s="70"/>
      <c r="I25" s="2"/>
      <c r="J25" s="2"/>
      <c r="K25" s="10"/>
    </row>
    <row r="26" spans="1:11" ht="15.75" thickBot="1">
      <c r="A26" s="3"/>
      <c r="B26" s="41" t="s">
        <v>11</v>
      </c>
      <c r="C26" s="122" t="s">
        <v>12</v>
      </c>
      <c r="D26" s="36">
        <v>0</v>
      </c>
      <c r="E26" s="31">
        <v>0</v>
      </c>
      <c r="F26" s="31">
        <v>0</v>
      </c>
      <c r="G26" s="31">
        <v>0</v>
      </c>
      <c r="H26" s="30">
        <v>1</v>
      </c>
      <c r="I26" s="105" t="s">
        <v>86</v>
      </c>
      <c r="J26" s="353">
        <v>2500</v>
      </c>
      <c r="K26" s="42">
        <f>SUM(H26*J26)</f>
        <v>2500</v>
      </c>
    </row>
    <row r="27" spans="1:11" ht="15" customHeight="1">
      <c r="D27" s="67"/>
      <c r="E27"/>
      <c r="F27"/>
      <c r="G27"/>
      <c r="K27" s="71"/>
    </row>
    <row r="29" spans="1:11">
      <c r="A29" s="3"/>
      <c r="B29" s="5"/>
      <c r="C29" s="62"/>
      <c r="D29" s="408" t="s">
        <v>940</v>
      </c>
      <c r="E29" s="409"/>
      <c r="F29" s="409"/>
      <c r="G29" s="409"/>
      <c r="H29" s="70"/>
      <c r="I29" s="2"/>
      <c r="J29" s="2"/>
      <c r="K29" s="10"/>
    </row>
    <row r="30" spans="1:11" ht="15.75" thickBot="1">
      <c r="A30" s="3"/>
      <c r="B30" s="5"/>
      <c r="C30" s="62"/>
      <c r="D30" s="408"/>
      <c r="E30" s="409"/>
      <c r="F30" s="409"/>
      <c r="G30" s="409"/>
      <c r="H30" s="70"/>
      <c r="I30" s="2"/>
      <c r="J30" s="2"/>
      <c r="K30" s="10"/>
    </row>
    <row r="31" spans="1:11" ht="15.75" thickBot="1">
      <c r="A31" s="3"/>
      <c r="B31" s="41" t="s">
        <v>11</v>
      </c>
      <c r="C31" s="122" t="s">
        <v>12</v>
      </c>
      <c r="D31" s="36">
        <v>0</v>
      </c>
      <c r="E31" s="31">
        <v>0</v>
      </c>
      <c r="F31" s="31">
        <v>0</v>
      </c>
      <c r="G31" s="31">
        <v>0</v>
      </c>
      <c r="H31" s="30">
        <v>1</v>
      </c>
      <c r="I31" s="105" t="s">
        <v>86</v>
      </c>
      <c r="J31" s="353">
        <v>750</v>
      </c>
      <c r="K31" s="42">
        <f>SUM(H31*J31)</f>
        <v>750</v>
      </c>
    </row>
    <row r="52" spans="1:11" ht="15" customHeight="1">
      <c r="A52" s="51"/>
      <c r="B52" s="51"/>
      <c r="C52"/>
      <c r="D52" s="67"/>
      <c r="E52"/>
      <c r="F52"/>
      <c r="G52"/>
      <c r="K52" s="71"/>
    </row>
    <row r="53" spans="1:11" ht="15" customHeight="1">
      <c r="A53" s="51"/>
      <c r="B53" s="51"/>
      <c r="C53"/>
      <c r="D53" s="67"/>
      <c r="E53"/>
      <c r="F53"/>
      <c r="G53"/>
      <c r="K53" s="71"/>
    </row>
    <row r="61" spans="1:11" ht="15.75" thickBot="1"/>
    <row r="62" spans="1:11" ht="17.25" thickTop="1" thickBot="1">
      <c r="B62" s="405" t="s">
        <v>36</v>
      </c>
      <c r="C62" s="406"/>
      <c r="D62" s="72">
        <f>SUMPRODUCT(D1:D61,$H1:$H61)</f>
        <v>0</v>
      </c>
      <c r="E62" s="72">
        <f>SUMPRODUCT(E1:E61,$H1:$H61)</f>
        <v>0</v>
      </c>
      <c r="F62" s="72">
        <f>SUMPRODUCT(F1:F61,$H1:$H61)</f>
        <v>2500</v>
      </c>
      <c r="G62" s="72">
        <f>SUMPRODUCT(G1:G61,$H1:$H61)</f>
        <v>21500</v>
      </c>
      <c r="H62" s="57">
        <f>SUM(D62:G62)</f>
        <v>24000</v>
      </c>
      <c r="I62" s="54"/>
      <c r="J62" s="199">
        <v>3250</v>
      </c>
      <c r="K62" s="56">
        <f>SUM(K5:K61)</f>
        <v>27250</v>
      </c>
    </row>
    <row r="63" spans="1:11">
      <c r="B63" s="29"/>
      <c r="C63" s="14"/>
      <c r="G63" s="17"/>
      <c r="H63" s="4"/>
      <c r="K63" s="58" t="str">
        <f>IF((H62+J62)=K62,"Correct")</f>
        <v>Correct</v>
      </c>
    </row>
  </sheetData>
  <sheetProtection sheet="1" objects="1" scenarios="1" selectLockedCells="1" selectUnlockedCells="1"/>
  <mergeCells count="13">
    <mergeCell ref="A2:A3"/>
    <mergeCell ref="H2:H3"/>
    <mergeCell ref="I2:I3"/>
    <mergeCell ref="J2:J3"/>
    <mergeCell ref="D2:G2"/>
    <mergeCell ref="D5:G6"/>
    <mergeCell ref="D10:G13"/>
    <mergeCell ref="D17:G20"/>
    <mergeCell ref="B62:C62"/>
    <mergeCell ref="K2:K3"/>
    <mergeCell ref="B2:C3"/>
    <mergeCell ref="D24:G25"/>
    <mergeCell ref="D29:G30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 Ltd&amp;C&amp;P of &amp;N&amp;R&amp;A</oddFoot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1"/>
  <dimension ref="A1:K83"/>
  <sheetViews>
    <sheetView view="pageLayout" workbookViewId="0">
      <selection activeCell="A55" sqref="A55:XFD55"/>
    </sheetView>
  </sheetViews>
  <sheetFormatPr defaultRowHeight="15"/>
  <cols>
    <col min="1" max="1" width="10.5703125" style="29" customWidth="1"/>
    <col min="2" max="2" width="10.5703125" style="13" customWidth="1"/>
    <col min="3" max="3" width="10.5703125" style="45" customWidth="1"/>
    <col min="4" max="4" width="9.28515625" style="9" bestFit="1" customWidth="1"/>
    <col min="5" max="5" width="9.28515625" style="16" customWidth="1"/>
    <col min="6" max="6" width="9.28515625" style="16" bestFit="1" customWidth="1"/>
    <col min="7" max="7" width="9.28515625" style="16" customWidth="1"/>
    <col min="8" max="8" width="10.5703125" style="51" customWidth="1"/>
    <col min="9" max="9" width="5.140625" style="51" customWidth="1"/>
    <col min="10" max="10" width="10.5703125" style="4" customWidth="1"/>
    <col min="11" max="11" width="10.5703125" style="11" customWidth="1"/>
  </cols>
  <sheetData>
    <row r="1" spans="1:11">
      <c r="A1" s="111" t="s">
        <v>280</v>
      </c>
      <c r="B1" s="60"/>
      <c r="C1" s="112"/>
      <c r="D1" s="83"/>
      <c r="E1" s="83"/>
      <c r="F1" s="83"/>
      <c r="G1" s="83"/>
      <c r="H1" s="106"/>
      <c r="I1" s="106"/>
      <c r="J1" s="106"/>
      <c r="K1" s="61"/>
    </row>
    <row r="2" spans="1:11" s="1" customFormat="1">
      <c r="A2" s="421" t="s">
        <v>0</v>
      </c>
      <c r="B2" s="421" t="s">
        <v>1</v>
      </c>
      <c r="C2" s="433"/>
      <c r="D2" s="432" t="s">
        <v>2</v>
      </c>
      <c r="E2" s="425"/>
      <c r="F2" s="425"/>
      <c r="G2" s="433"/>
      <c r="H2" s="423" t="s">
        <v>6</v>
      </c>
      <c r="I2" s="423" t="s">
        <v>7</v>
      </c>
      <c r="J2" s="430" t="s">
        <v>8</v>
      </c>
      <c r="K2" s="434" t="s">
        <v>9</v>
      </c>
    </row>
    <row r="3" spans="1:11" s="6" customFormat="1">
      <c r="A3" s="422"/>
      <c r="B3" s="422"/>
      <c r="C3" s="461"/>
      <c r="D3" s="7" t="s">
        <v>3</v>
      </c>
      <c r="E3" s="40" t="s">
        <v>4</v>
      </c>
      <c r="F3" s="40" t="s">
        <v>5</v>
      </c>
      <c r="G3" s="40" t="s">
        <v>45</v>
      </c>
      <c r="H3" s="424"/>
      <c r="I3" s="424"/>
      <c r="J3" s="431"/>
      <c r="K3" s="435"/>
    </row>
    <row r="4" spans="1:11">
      <c r="A4" s="3"/>
      <c r="B4" s="5"/>
      <c r="C4" s="62"/>
      <c r="D4" s="8"/>
      <c r="E4" s="12"/>
      <c r="F4" s="12"/>
      <c r="G4" s="12"/>
      <c r="H4" s="5"/>
      <c r="I4" s="70"/>
      <c r="J4" s="3"/>
      <c r="K4" s="10"/>
    </row>
    <row r="5" spans="1:11" ht="15" customHeight="1">
      <c r="A5" s="27">
        <v>1</v>
      </c>
      <c r="B5" s="27">
        <v>9.1999999999999993</v>
      </c>
      <c r="C5" s="85">
        <f>A5*B5</f>
        <v>9.1999999999999993</v>
      </c>
      <c r="D5" s="448" t="s">
        <v>858</v>
      </c>
      <c r="E5" s="449"/>
      <c r="F5" s="449"/>
      <c r="G5" s="450"/>
      <c r="H5" s="4"/>
      <c r="I5" s="4"/>
    </row>
    <row r="6" spans="1:11">
      <c r="A6" s="25">
        <v>2</v>
      </c>
      <c r="B6" s="25">
        <v>3.2</v>
      </c>
      <c r="C6" s="81">
        <f>A6*B6</f>
        <v>6.4</v>
      </c>
      <c r="D6" s="454"/>
      <c r="E6" s="455"/>
      <c r="F6" s="455"/>
      <c r="G6" s="456"/>
      <c r="H6" s="4"/>
      <c r="I6" s="4"/>
    </row>
    <row r="7" spans="1:11">
      <c r="A7" s="25">
        <v>2</v>
      </c>
      <c r="B7" s="25">
        <v>4.8</v>
      </c>
      <c r="C7" s="344">
        <f>A7*B7</f>
        <v>9.6</v>
      </c>
      <c r="D7" s="302" t="s">
        <v>728</v>
      </c>
      <c r="E7" s="444" t="str">
        <f>'Material Analysis'!C85</f>
        <v>UPVC_Gutter</v>
      </c>
      <c r="F7" s="445"/>
      <c r="G7" s="446"/>
      <c r="H7" s="4"/>
      <c r="I7" s="4"/>
    </row>
    <row r="8" spans="1:11" ht="15.75" thickBot="1">
      <c r="A8" s="25">
        <v>1</v>
      </c>
      <c r="B8" s="25">
        <v>3.5</v>
      </c>
      <c r="C8" s="344">
        <f>A8*B8</f>
        <v>3.5</v>
      </c>
      <c r="D8" s="300" t="s">
        <v>859</v>
      </c>
      <c r="E8" s="493" t="str">
        <f>'Material Analysis'!D85</f>
        <v>UPVC - Gutter</v>
      </c>
      <c r="F8" s="494"/>
      <c r="G8" s="495"/>
      <c r="H8" s="4"/>
      <c r="I8" s="4"/>
    </row>
    <row r="9" spans="1:11" ht="15.75" thickBot="1">
      <c r="A9" s="180"/>
      <c r="B9" s="179"/>
      <c r="C9" s="121">
        <f ca="1">SUM(C5:(OFFSET(C9,-1,0)))</f>
        <v>28.7</v>
      </c>
      <c r="D9" s="36">
        <f>'Labour Analysis'!$E$73*0.1</f>
        <v>3.5</v>
      </c>
      <c r="E9" s="31">
        <v>0</v>
      </c>
      <c r="F9" s="31">
        <f>'Material Analysis'!I85</f>
        <v>6.8250000000000002</v>
      </c>
      <c r="G9" s="31">
        <v>0</v>
      </c>
      <c r="H9" s="25">
        <f ca="1">$C9</f>
        <v>28.7</v>
      </c>
      <c r="I9" s="30" t="s">
        <v>39</v>
      </c>
      <c r="J9" s="41">
        <f>SUM(D9:G9)</f>
        <v>10.324999999999999</v>
      </c>
      <c r="K9" s="42">
        <f ca="1">SUM(H9*J9)</f>
        <v>296.32749999999999</v>
      </c>
    </row>
    <row r="10" spans="1:11">
      <c r="A10" s="3"/>
      <c r="B10" s="5"/>
      <c r="C10" s="62"/>
      <c r="D10" s="8"/>
      <c r="E10" s="12"/>
      <c r="F10" s="12"/>
      <c r="G10" s="12"/>
      <c r="H10" s="70"/>
      <c r="I10" s="70"/>
      <c r="J10" s="2"/>
      <c r="K10" s="10"/>
    </row>
    <row r="11" spans="1:11">
      <c r="A11" s="3"/>
      <c r="B11" s="5"/>
      <c r="C11" s="62"/>
      <c r="D11" s="8"/>
      <c r="E11" s="12"/>
      <c r="F11" s="12"/>
      <c r="G11" s="12"/>
      <c r="H11" s="70"/>
      <c r="I11" s="70"/>
      <c r="J11" s="2"/>
      <c r="K11" s="10"/>
    </row>
    <row r="12" spans="1:11">
      <c r="A12" s="3"/>
      <c r="B12" s="5"/>
      <c r="C12" s="62"/>
      <c r="D12" s="408" t="s">
        <v>89</v>
      </c>
      <c r="E12" s="409"/>
      <c r="F12" s="409"/>
      <c r="G12" s="409"/>
      <c r="H12" s="70"/>
      <c r="I12" s="70"/>
      <c r="J12" s="2"/>
      <c r="K12" s="10"/>
    </row>
    <row r="13" spans="1:11">
      <c r="A13" s="3"/>
      <c r="B13" s="5"/>
      <c r="C13" s="62"/>
      <c r="D13" s="302" t="s">
        <v>728</v>
      </c>
      <c r="E13" s="444" t="str">
        <f>'Material Analysis'!C86</f>
        <v>UPVC_Gutter</v>
      </c>
      <c r="F13" s="445"/>
      <c r="G13" s="446"/>
      <c r="H13" s="70"/>
      <c r="I13" s="70"/>
      <c r="J13" s="2"/>
      <c r="K13" s="10"/>
    </row>
    <row r="14" spans="1:11" ht="15.75" thickBot="1">
      <c r="A14" s="3"/>
      <c r="B14" s="5"/>
      <c r="C14" s="62"/>
      <c r="D14" s="300" t="s">
        <v>859</v>
      </c>
      <c r="E14" s="493" t="str">
        <f>'Material Analysis'!D86</f>
        <v>UPVC - Stop End</v>
      </c>
      <c r="F14" s="494"/>
      <c r="G14" s="495"/>
      <c r="H14" s="2"/>
      <c r="I14" s="2"/>
      <c r="J14" s="2"/>
      <c r="K14" s="10"/>
    </row>
    <row r="15" spans="1:11" ht="15.75" thickBot="1">
      <c r="A15" s="25">
        <v>10</v>
      </c>
      <c r="B15" s="41">
        <v>1</v>
      </c>
      <c r="C15" s="43">
        <f>A15*B15</f>
        <v>10</v>
      </c>
      <c r="D15" s="36">
        <f>'Labour Analysis'!$E$73*0.1</f>
        <v>3.5</v>
      </c>
      <c r="E15" s="34">
        <v>0</v>
      </c>
      <c r="F15" s="34">
        <f>'Material Analysis'!I86</f>
        <v>3.6749999999999998</v>
      </c>
      <c r="G15" s="34">
        <v>0</v>
      </c>
      <c r="H15" s="27">
        <f>$C15</f>
        <v>10</v>
      </c>
      <c r="I15" s="50" t="s">
        <v>44</v>
      </c>
      <c r="J15" s="59">
        <f>SUM(D15:G15)</f>
        <v>7.1749999999999998</v>
      </c>
      <c r="K15" s="49">
        <f>J15*H15</f>
        <v>71.75</v>
      </c>
    </row>
    <row r="16" spans="1:11">
      <c r="A16" s="3"/>
      <c r="B16" s="5"/>
      <c r="C16" s="62"/>
      <c r="D16" s="8"/>
      <c r="E16" s="12"/>
      <c r="F16" s="12"/>
      <c r="G16" s="12"/>
      <c r="H16" s="70"/>
      <c r="I16" s="70"/>
      <c r="J16" s="2"/>
      <c r="K16" s="10"/>
    </row>
    <row r="17" spans="1:11">
      <c r="A17" s="3"/>
      <c r="B17" s="5"/>
      <c r="C17" s="62"/>
      <c r="D17" s="8"/>
      <c r="E17" s="12"/>
      <c r="F17" s="12"/>
      <c r="G17" s="12"/>
      <c r="H17" s="70"/>
      <c r="I17" s="70"/>
      <c r="J17" s="2"/>
      <c r="K17" s="10"/>
    </row>
    <row r="18" spans="1:11">
      <c r="A18" s="3"/>
      <c r="B18" s="3"/>
      <c r="C18" s="82"/>
      <c r="D18" s="408" t="s">
        <v>90</v>
      </c>
      <c r="E18" s="409"/>
      <c r="F18" s="409"/>
      <c r="G18" s="409"/>
      <c r="H18" s="2"/>
      <c r="I18" s="2"/>
      <c r="J18" s="2"/>
      <c r="K18" s="10"/>
    </row>
    <row r="19" spans="1:11">
      <c r="A19" s="3"/>
      <c r="B19" s="5"/>
      <c r="C19" s="62"/>
      <c r="D19" s="302" t="s">
        <v>728</v>
      </c>
      <c r="E19" s="444" t="str">
        <f>'Material Analysis'!C87</f>
        <v>UPVC_Gutter</v>
      </c>
      <c r="F19" s="445"/>
      <c r="G19" s="446"/>
      <c r="H19" s="70"/>
      <c r="I19" s="70"/>
      <c r="J19" s="2"/>
      <c r="K19" s="10"/>
    </row>
    <row r="20" spans="1:11" ht="15.75" thickBot="1">
      <c r="A20" s="3"/>
      <c r="B20" s="5"/>
      <c r="C20" s="62"/>
      <c r="D20" s="300" t="s">
        <v>859</v>
      </c>
      <c r="E20" s="493" t="str">
        <f>'Material Analysis'!D87</f>
        <v>UPVC - Running Outlet</v>
      </c>
      <c r="F20" s="494"/>
      <c r="G20" s="495"/>
      <c r="H20" s="2"/>
      <c r="I20" s="2"/>
      <c r="J20" s="2"/>
      <c r="K20" s="10"/>
    </row>
    <row r="21" spans="1:11" ht="15.75" thickBot="1">
      <c r="A21" s="25">
        <v>7</v>
      </c>
      <c r="B21" s="41">
        <v>1</v>
      </c>
      <c r="C21" s="43">
        <f>A21*B21</f>
        <v>7</v>
      </c>
      <c r="D21" s="36">
        <f>'Labour Analysis'!$E$73*0.1</f>
        <v>3.5</v>
      </c>
      <c r="E21" s="34">
        <v>0</v>
      </c>
      <c r="F21" s="34">
        <f>'Material Analysis'!I87</f>
        <v>6.8250000000000002</v>
      </c>
      <c r="G21" s="34">
        <v>0</v>
      </c>
      <c r="H21" s="27">
        <f>$C21</f>
        <v>7</v>
      </c>
      <c r="I21" s="50" t="s">
        <v>44</v>
      </c>
      <c r="J21" s="59">
        <f>SUM(D21:G21)</f>
        <v>10.324999999999999</v>
      </c>
      <c r="K21" s="49">
        <f>J21*H21</f>
        <v>72.274999999999991</v>
      </c>
    </row>
    <row r="22" spans="1:11">
      <c r="A22" s="3"/>
      <c r="B22" s="5"/>
      <c r="C22" s="62"/>
      <c r="D22" s="8"/>
      <c r="E22" s="12"/>
      <c r="F22" s="12"/>
      <c r="G22" s="12"/>
      <c r="H22" s="70"/>
      <c r="I22" s="70"/>
      <c r="J22" s="2"/>
      <c r="K22" s="10"/>
    </row>
    <row r="23" spans="1:11" ht="15" customHeight="1">
      <c r="A23" s="3"/>
      <c r="B23" s="5"/>
      <c r="C23" s="62"/>
    </row>
    <row r="24" spans="1:11">
      <c r="A24" s="3"/>
      <c r="B24" s="3"/>
      <c r="C24" s="82"/>
      <c r="D24" s="408" t="s">
        <v>91</v>
      </c>
      <c r="E24" s="409"/>
      <c r="F24" s="409"/>
      <c r="G24" s="409"/>
      <c r="H24" s="2"/>
      <c r="I24" s="2"/>
      <c r="J24" s="2"/>
      <c r="K24" s="10"/>
    </row>
    <row r="25" spans="1:11" ht="15" customHeight="1">
      <c r="A25" s="3"/>
      <c r="B25" s="5"/>
      <c r="C25" s="62"/>
      <c r="D25" s="302" t="s">
        <v>728</v>
      </c>
      <c r="E25" s="444" t="str">
        <f>'Material Analysis'!C88</f>
        <v>UPVC_Gutter</v>
      </c>
      <c r="F25" s="445"/>
      <c r="G25" s="446"/>
      <c r="H25" s="70"/>
      <c r="I25" s="70"/>
      <c r="J25" s="2"/>
      <c r="K25" s="10"/>
    </row>
    <row r="26" spans="1:11" ht="15.75" thickBot="1">
      <c r="A26" s="3"/>
      <c r="B26" s="5"/>
      <c r="C26" s="62"/>
      <c r="D26" s="300" t="s">
        <v>859</v>
      </c>
      <c r="E26" s="493" t="str">
        <f>'Material Analysis'!D88</f>
        <v>UPVC - Angle</v>
      </c>
      <c r="F26" s="494"/>
      <c r="G26" s="495"/>
      <c r="H26" s="2"/>
      <c r="I26" s="2"/>
      <c r="J26" s="2"/>
      <c r="K26" s="10"/>
    </row>
    <row r="27" spans="1:11" ht="15.75" thickBot="1">
      <c r="A27" s="25">
        <v>1</v>
      </c>
      <c r="B27" s="41">
        <v>1</v>
      </c>
      <c r="C27" s="43">
        <f>A27*B27</f>
        <v>1</v>
      </c>
      <c r="D27" s="36">
        <f>'Labour Analysis'!$E$73*0.1</f>
        <v>3.5</v>
      </c>
      <c r="E27" s="34">
        <v>0</v>
      </c>
      <c r="F27" s="34">
        <f>'Material Analysis'!I88</f>
        <v>3.6749999999999998</v>
      </c>
      <c r="G27" s="34">
        <v>0</v>
      </c>
      <c r="H27" s="27">
        <f>$C27</f>
        <v>1</v>
      </c>
      <c r="I27" s="50" t="s">
        <v>44</v>
      </c>
      <c r="J27" s="59">
        <f>SUM(D27:G27)</f>
        <v>7.1749999999999998</v>
      </c>
      <c r="K27" s="49">
        <f>J27*H27</f>
        <v>7.1749999999999998</v>
      </c>
    </row>
    <row r="28" spans="1:11" ht="15" customHeight="1">
      <c r="D28" s="67"/>
      <c r="E28"/>
      <c r="F28"/>
      <c r="G28"/>
      <c r="K28" s="71"/>
    </row>
    <row r="30" spans="1:11">
      <c r="A30" s="27">
        <v>5</v>
      </c>
      <c r="B30" s="27">
        <v>5.2</v>
      </c>
      <c r="C30" s="85">
        <f>A30*B30</f>
        <v>26</v>
      </c>
      <c r="D30" s="448" t="s">
        <v>92</v>
      </c>
      <c r="E30" s="449"/>
      <c r="F30" s="449"/>
      <c r="G30" s="450"/>
      <c r="H30" s="4"/>
      <c r="I30" s="4"/>
    </row>
    <row r="31" spans="1:11" ht="15.75" thickBot="1">
      <c r="A31" s="25">
        <v>2</v>
      </c>
      <c r="B31" s="25">
        <v>2.5</v>
      </c>
      <c r="C31" s="81">
        <f>A31*B31</f>
        <v>5</v>
      </c>
      <c r="D31" s="451"/>
      <c r="E31" s="452"/>
      <c r="F31" s="452"/>
      <c r="G31" s="453"/>
      <c r="H31" s="4"/>
      <c r="I31" s="4"/>
    </row>
    <row r="32" spans="1:11" ht="15.75" thickBot="1">
      <c r="A32" s="180"/>
      <c r="B32" s="179"/>
      <c r="C32" s="121">
        <f ca="1">SUM(C30:(OFFSET(C32,-1,0)))</f>
        <v>31</v>
      </c>
      <c r="D32" s="302" t="s">
        <v>728</v>
      </c>
      <c r="E32" s="444" t="str">
        <f>'Material Analysis'!C89</f>
        <v>UPVC_Gutter</v>
      </c>
      <c r="F32" s="445"/>
      <c r="G32" s="446"/>
      <c r="H32" s="70"/>
      <c r="I32" s="70"/>
      <c r="J32" s="2"/>
      <c r="K32" s="10"/>
    </row>
    <row r="33" spans="1:11">
      <c r="A33" s="3"/>
      <c r="B33" s="5"/>
      <c r="C33" s="62"/>
      <c r="D33" s="300" t="s">
        <v>859</v>
      </c>
      <c r="E33" s="493" t="str">
        <f>'Material Analysis'!D89</f>
        <v>UPVC - Downpipe</v>
      </c>
      <c r="F33" s="494"/>
      <c r="G33" s="495"/>
      <c r="H33" s="2"/>
      <c r="I33" s="2"/>
      <c r="J33" s="2"/>
      <c r="K33" s="10"/>
    </row>
    <row r="34" spans="1:11">
      <c r="A34" s="3"/>
      <c r="B34" s="5"/>
      <c r="C34" s="62"/>
      <c r="D34" s="36">
        <f>'Labour Analysis'!$E$73*0.1</f>
        <v>3.5</v>
      </c>
      <c r="E34" s="31">
        <v>0</v>
      </c>
      <c r="F34" s="34">
        <f>'Material Analysis'!I89</f>
        <v>6.8250000000000002</v>
      </c>
      <c r="G34" s="31">
        <v>0</v>
      </c>
      <c r="H34" s="25">
        <f ca="1">$C32</f>
        <v>31</v>
      </c>
      <c r="I34" s="30" t="s">
        <v>39</v>
      </c>
      <c r="J34" s="41">
        <f>SUM(D34:G34)</f>
        <v>10.324999999999999</v>
      </c>
      <c r="K34" s="42">
        <f ca="1">SUM(H34*J34)</f>
        <v>320.07499999999999</v>
      </c>
    </row>
    <row r="35" spans="1:11">
      <c r="A35" s="3"/>
      <c r="B35" s="5"/>
      <c r="C35" s="62"/>
    </row>
    <row r="37" spans="1:11" ht="15" customHeight="1">
      <c r="A37" s="3"/>
      <c r="B37" s="3"/>
      <c r="C37" s="82"/>
      <c r="D37" s="408" t="s">
        <v>93</v>
      </c>
      <c r="E37" s="409"/>
      <c r="F37" s="409"/>
      <c r="G37" s="409"/>
      <c r="H37" s="2"/>
      <c r="I37" s="2"/>
      <c r="J37" s="2"/>
      <c r="K37" s="10"/>
    </row>
    <row r="38" spans="1:11" ht="15" customHeight="1">
      <c r="A38" s="3"/>
      <c r="B38" s="5"/>
      <c r="C38" s="62"/>
      <c r="D38" s="302" t="s">
        <v>728</v>
      </c>
      <c r="E38" s="444" t="str">
        <f>'Material Analysis'!C88</f>
        <v>UPVC_Gutter</v>
      </c>
      <c r="F38" s="445"/>
      <c r="G38" s="446"/>
      <c r="H38" s="70"/>
      <c r="I38" s="70"/>
      <c r="J38" s="2"/>
      <c r="K38" s="10"/>
    </row>
    <row r="39" spans="1:11" ht="15.75" thickBot="1">
      <c r="A39" s="3"/>
      <c r="B39" s="5"/>
      <c r="C39" s="62"/>
      <c r="D39" s="300" t="s">
        <v>859</v>
      </c>
      <c r="E39" s="493" t="str">
        <f>'Material Analysis'!D88</f>
        <v>UPVC - Angle</v>
      </c>
      <c r="F39" s="494"/>
      <c r="G39" s="495"/>
      <c r="H39" s="2"/>
      <c r="I39" s="2"/>
      <c r="J39" s="2"/>
      <c r="K39" s="10"/>
    </row>
    <row r="40" spans="1:11" ht="15.75" thickBot="1">
      <c r="A40" s="25">
        <v>14</v>
      </c>
      <c r="B40" s="41">
        <v>1</v>
      </c>
      <c r="C40" s="43">
        <f>A40*B40</f>
        <v>14</v>
      </c>
      <c r="D40" s="36">
        <f>'Labour Analysis'!$E$73*0.1</f>
        <v>3.5</v>
      </c>
      <c r="E40" s="34">
        <v>0</v>
      </c>
      <c r="F40" s="34">
        <f>'Material Analysis'!I88</f>
        <v>3.6749999999999998</v>
      </c>
      <c r="G40" s="34">
        <v>0</v>
      </c>
      <c r="H40" s="27">
        <f>$C40</f>
        <v>14</v>
      </c>
      <c r="I40" s="50" t="s">
        <v>44</v>
      </c>
      <c r="J40" s="59">
        <f>SUM(D40:G40)</f>
        <v>7.1749999999999998</v>
      </c>
      <c r="K40" s="49">
        <f>J40*H40</f>
        <v>100.45</v>
      </c>
    </row>
    <row r="43" spans="1:11" ht="15" customHeight="1">
      <c r="E43" s="346"/>
      <c r="F43" s="346"/>
      <c r="G43" s="346"/>
    </row>
    <row r="44" spans="1:11" ht="15" customHeight="1">
      <c r="E44" s="346"/>
      <c r="F44" s="346"/>
      <c r="G44" s="346"/>
    </row>
    <row r="45" spans="1:11">
      <c r="E45" s="346"/>
      <c r="F45" s="346"/>
      <c r="G45" s="346"/>
    </row>
    <row r="46" spans="1:11">
      <c r="E46" s="346"/>
      <c r="F46" s="346"/>
      <c r="G46" s="346"/>
    </row>
    <row r="47" spans="1:11">
      <c r="E47" s="346"/>
      <c r="F47" s="346"/>
      <c r="G47" s="346"/>
    </row>
    <row r="48" spans="1:11">
      <c r="E48" s="346"/>
      <c r="F48" s="346"/>
      <c r="G48" s="346"/>
    </row>
    <row r="49" spans="2:11" ht="15" customHeight="1">
      <c r="E49" s="346"/>
      <c r="F49" s="346"/>
      <c r="G49" s="346"/>
    </row>
    <row r="50" spans="2:11" ht="15" customHeight="1">
      <c r="E50" s="346"/>
      <c r="F50" s="346"/>
      <c r="G50" s="346"/>
    </row>
    <row r="51" spans="2:11" ht="15.75" customHeight="1">
      <c r="E51" s="346"/>
      <c r="F51" s="346"/>
      <c r="G51" s="346"/>
    </row>
    <row r="52" spans="2:11">
      <c r="E52" s="346"/>
      <c r="F52" s="346"/>
      <c r="G52" s="346"/>
    </row>
    <row r="53" spans="2:11" ht="15" customHeight="1"/>
    <row r="54" spans="2:11" ht="15" customHeight="1"/>
    <row r="55" spans="2:11" ht="15" customHeight="1">
      <c r="E55" s="346"/>
      <c r="F55" s="346"/>
      <c r="G55" s="346"/>
    </row>
    <row r="61" spans="2:11" ht="15.75" customHeight="1" thickBot="1"/>
    <row r="62" spans="2:11" ht="17.25" thickTop="1" thickBot="1">
      <c r="B62" s="405" t="s">
        <v>36</v>
      </c>
      <c r="C62" s="406"/>
      <c r="D62" s="72">
        <f ca="1">SUMPRODUCT(D1:D61,$H1:$H61)</f>
        <v>320.95</v>
      </c>
      <c r="E62" s="72">
        <f ca="1">SUMPRODUCT(E1:E61,$H1:$H61)</f>
        <v>0</v>
      </c>
      <c r="F62" s="72">
        <f ca="1">SUMPRODUCT(F1:F61,$H1:$H61)</f>
        <v>547.10250000000008</v>
      </c>
      <c r="G62" s="72">
        <f ca="1">SUMPRODUCT(G1:G61,$H1:$H61)</f>
        <v>0</v>
      </c>
      <c r="H62" s="57">
        <f ca="1">SUM(D62:G62)</f>
        <v>868.05250000000001</v>
      </c>
      <c r="I62" s="54"/>
      <c r="J62" s="199"/>
      <c r="K62" s="56">
        <f ca="1">SUM(K5:K61)</f>
        <v>868.05250000000001</v>
      </c>
    </row>
    <row r="63" spans="2:11">
      <c r="B63" s="29"/>
      <c r="C63" s="14"/>
      <c r="G63" s="17"/>
      <c r="H63" s="4"/>
      <c r="I63" s="4"/>
      <c r="K63" s="58" t="str">
        <f ca="1">IF((H62+J62)=K62,"Correct")</f>
        <v>Correct</v>
      </c>
    </row>
    <row r="65" ht="15.75" customHeight="1"/>
    <row r="69" ht="15" customHeight="1"/>
    <row r="73" ht="15.75" customHeight="1"/>
    <row r="75" ht="15" customHeight="1"/>
    <row r="77" ht="15" customHeight="1"/>
    <row r="81" ht="15" customHeight="1"/>
    <row r="83" ht="15" customHeight="1"/>
  </sheetData>
  <sheetProtection sheet="1" objects="1" scenarios="1" selectLockedCells="1" selectUnlockedCells="1"/>
  <mergeCells count="26">
    <mergeCell ref="B62:C62"/>
    <mergeCell ref="D5:G6"/>
    <mergeCell ref="K2:K3"/>
    <mergeCell ref="B2:C3"/>
    <mergeCell ref="A2:A3"/>
    <mergeCell ref="H2:H3"/>
    <mergeCell ref="I2:I3"/>
    <mergeCell ref="J2:J3"/>
    <mergeCell ref="D2:G2"/>
    <mergeCell ref="D30:G31"/>
    <mergeCell ref="D37:G37"/>
    <mergeCell ref="D12:G12"/>
    <mergeCell ref="D18:G18"/>
    <mergeCell ref="D24:G24"/>
    <mergeCell ref="E7:G7"/>
    <mergeCell ref="E8:G8"/>
    <mergeCell ref="E13:G13"/>
    <mergeCell ref="E14:G14"/>
    <mergeCell ref="E19:G19"/>
    <mergeCell ref="E20:G20"/>
    <mergeCell ref="E39:G39"/>
    <mergeCell ref="E25:G25"/>
    <mergeCell ref="E26:G26"/>
    <mergeCell ref="E32:G32"/>
    <mergeCell ref="E33:G33"/>
    <mergeCell ref="E38:G38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 Ltd&amp;C&amp;P of &amp;N&amp;R&amp;A</oddFoot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5"/>
  <dimension ref="A1:K81"/>
  <sheetViews>
    <sheetView view="pageLayout" topLeftCell="A39" workbookViewId="0">
      <selection activeCell="D49" sqref="D49"/>
    </sheetView>
  </sheetViews>
  <sheetFormatPr defaultRowHeight="15"/>
  <cols>
    <col min="1" max="1" width="10.5703125" style="29" customWidth="1"/>
    <col min="2" max="2" width="10.5703125" style="13" customWidth="1"/>
    <col min="3" max="3" width="10.5703125" style="45" customWidth="1"/>
    <col min="4" max="4" width="9.28515625" style="9" bestFit="1" customWidth="1"/>
    <col min="5" max="5" width="9.28515625" style="244" customWidth="1"/>
    <col min="6" max="6" width="9.28515625" style="244" bestFit="1" customWidth="1"/>
    <col min="7" max="7" width="9.28515625" style="244" customWidth="1"/>
    <col min="8" max="8" width="10.5703125" style="51" customWidth="1"/>
    <col min="9" max="9" width="5.140625" style="51" customWidth="1"/>
    <col min="10" max="10" width="10.5703125" style="4" customWidth="1"/>
    <col min="11" max="11" width="10.5703125" style="11" customWidth="1"/>
  </cols>
  <sheetData>
    <row r="1" spans="1:11">
      <c r="A1" s="111" t="s">
        <v>470</v>
      </c>
      <c r="B1" s="60"/>
      <c r="C1" s="112"/>
      <c r="D1" s="242"/>
      <c r="E1" s="242"/>
      <c r="F1" s="242"/>
      <c r="G1" s="242"/>
      <c r="H1" s="106"/>
      <c r="I1" s="106"/>
      <c r="J1" s="106"/>
      <c r="K1" s="61"/>
    </row>
    <row r="2" spans="1:11" s="1" customFormat="1">
      <c r="A2" s="421" t="s">
        <v>0</v>
      </c>
      <c r="B2" s="421" t="s">
        <v>1</v>
      </c>
      <c r="C2" s="433"/>
      <c r="D2" s="432" t="s">
        <v>2</v>
      </c>
      <c r="E2" s="425"/>
      <c r="F2" s="425"/>
      <c r="G2" s="433"/>
      <c r="H2" s="423" t="s">
        <v>6</v>
      </c>
      <c r="I2" s="423" t="s">
        <v>7</v>
      </c>
      <c r="J2" s="430" t="s">
        <v>8</v>
      </c>
      <c r="K2" s="434" t="s">
        <v>9</v>
      </c>
    </row>
    <row r="3" spans="1:11" s="6" customFormat="1">
      <c r="A3" s="422"/>
      <c r="B3" s="422"/>
      <c r="C3" s="461"/>
      <c r="D3" s="7" t="s">
        <v>3</v>
      </c>
      <c r="E3" s="243" t="s">
        <v>4</v>
      </c>
      <c r="F3" s="243" t="s">
        <v>5</v>
      </c>
      <c r="G3" s="243" t="s">
        <v>45</v>
      </c>
      <c r="H3" s="424"/>
      <c r="I3" s="424"/>
      <c r="J3" s="431"/>
      <c r="K3" s="435"/>
    </row>
    <row r="4" spans="1:11" ht="15" customHeight="1"/>
    <row r="5" spans="1:11">
      <c r="A5" s="59">
        <v>1</v>
      </c>
      <c r="B5" s="59">
        <v>1.4</v>
      </c>
      <c r="C5" s="241">
        <f t="shared" ref="C5:C13" si="0">A5*B5</f>
        <v>1.4</v>
      </c>
      <c r="D5" s="448" t="s">
        <v>210</v>
      </c>
      <c r="E5" s="449"/>
      <c r="F5" s="449"/>
      <c r="G5" s="450"/>
    </row>
    <row r="6" spans="1:11">
      <c r="A6" s="59">
        <v>1</v>
      </c>
      <c r="B6" s="59">
        <v>11.2</v>
      </c>
      <c r="C6" s="241">
        <f t="shared" si="0"/>
        <v>11.2</v>
      </c>
      <c r="D6" s="451"/>
      <c r="E6" s="452"/>
      <c r="F6" s="452"/>
      <c r="G6" s="453"/>
    </row>
    <row r="7" spans="1:11">
      <c r="A7" s="41">
        <v>1</v>
      </c>
      <c r="B7" s="41">
        <v>4.2</v>
      </c>
      <c r="C7" s="239">
        <f t="shared" si="0"/>
        <v>4.2</v>
      </c>
      <c r="D7" s="451"/>
      <c r="E7" s="452"/>
      <c r="F7" s="452"/>
      <c r="G7" s="453"/>
    </row>
    <row r="8" spans="1:11">
      <c r="A8" s="59">
        <v>1</v>
      </c>
      <c r="B8" s="59">
        <v>7</v>
      </c>
      <c r="C8" s="241">
        <f t="shared" si="0"/>
        <v>7</v>
      </c>
      <c r="D8" s="451"/>
      <c r="E8" s="452"/>
      <c r="F8" s="452"/>
      <c r="G8" s="453"/>
    </row>
    <row r="9" spans="1:11" ht="15.75" customHeight="1">
      <c r="A9" s="59">
        <v>1</v>
      </c>
      <c r="B9" s="59">
        <v>0.6</v>
      </c>
      <c r="C9" s="241">
        <f t="shared" si="0"/>
        <v>0.6</v>
      </c>
      <c r="D9" s="34">
        <f ca="1">SUM((((H9*0.6*0.6)/'Plant Analysis'!B20)*'Labour Analysis'!E22)/H9)</f>
        <v>1.7399999999999998</v>
      </c>
      <c r="E9" s="34">
        <f ca="1">SUM((((H9*0.6*0.6)/'Plant Analysis'!B20)*'Plant Analysis'!E18)/H9)</f>
        <v>2.9999999999999996</v>
      </c>
      <c r="F9" s="34">
        <v>0</v>
      </c>
      <c r="G9" s="34">
        <v>0</v>
      </c>
      <c r="H9" s="27">
        <f ca="1">$C15</f>
        <v>50.000000000000007</v>
      </c>
      <c r="I9" s="50" t="s">
        <v>39</v>
      </c>
      <c r="J9" s="59">
        <f ca="1">SUM(D9:G9)</f>
        <v>4.7399999999999993</v>
      </c>
      <c r="K9" s="49">
        <f ca="1">J9*H9</f>
        <v>237</v>
      </c>
    </row>
    <row r="10" spans="1:11">
      <c r="A10" s="41">
        <v>1</v>
      </c>
      <c r="B10" s="41">
        <v>6.4</v>
      </c>
      <c r="C10" s="239">
        <f t="shared" si="0"/>
        <v>6.4</v>
      </c>
    </row>
    <row r="11" spans="1:11">
      <c r="A11" s="59">
        <v>1</v>
      </c>
      <c r="B11" s="59">
        <v>8.8000000000000007</v>
      </c>
      <c r="C11" s="241">
        <f t="shared" si="0"/>
        <v>8.8000000000000007</v>
      </c>
      <c r="E11" s="470" t="s">
        <v>37</v>
      </c>
      <c r="F11" s="470"/>
    </row>
    <row r="12" spans="1:11" ht="15" customHeight="1">
      <c r="A12" s="59">
        <v>1</v>
      </c>
      <c r="B12" s="59">
        <v>6.8</v>
      </c>
      <c r="C12" s="241">
        <f t="shared" si="0"/>
        <v>6.8</v>
      </c>
      <c r="D12" s="439" t="s">
        <v>352</v>
      </c>
      <c r="E12" s="440"/>
      <c r="F12" s="440"/>
      <c r="G12" s="441"/>
    </row>
    <row r="13" spans="1:11" ht="15.75" customHeight="1">
      <c r="A13" s="41">
        <v>1</v>
      </c>
      <c r="B13" s="41">
        <v>1.6</v>
      </c>
      <c r="C13" s="239">
        <f t="shared" si="0"/>
        <v>1.6</v>
      </c>
      <c r="D13" s="39">
        <v>0</v>
      </c>
      <c r="E13" s="34">
        <f ca="1">SUM(((((H13*0.6*0.4)*1.6)/'Plant Analysis'!B33)*'Plant Analysis'!B32)/H13)</f>
        <v>5.7600000000000007</v>
      </c>
      <c r="F13" s="34">
        <v>0</v>
      </c>
      <c r="G13" s="34">
        <v>0</v>
      </c>
      <c r="H13" s="27">
        <f ca="1">$C15</f>
        <v>50.000000000000007</v>
      </c>
      <c r="I13" s="50" t="s">
        <v>39</v>
      </c>
      <c r="J13" s="59">
        <f ca="1">SUM(D13:G13)</f>
        <v>5.7600000000000007</v>
      </c>
      <c r="K13" s="49">
        <f ca="1">J13*H13</f>
        <v>288.00000000000006</v>
      </c>
    </row>
    <row r="14" spans="1:11" ht="15.75" thickBot="1">
      <c r="A14" s="41">
        <v>1</v>
      </c>
      <c r="B14" s="41">
        <v>2</v>
      </c>
      <c r="C14" s="344">
        <f t="shared" ref="C14" si="1">A14*B14</f>
        <v>2</v>
      </c>
    </row>
    <row r="15" spans="1:11" ht="15.75" thickBot="1">
      <c r="A15" s="55"/>
      <c r="B15" s="179"/>
      <c r="C15" s="121">
        <f ca="1">SUM(C5:(OFFSET(C15,-1,0)))</f>
        <v>50.000000000000007</v>
      </c>
      <c r="E15" s="420" t="s">
        <v>37</v>
      </c>
      <c r="F15" s="420"/>
    </row>
    <row r="16" spans="1:11">
      <c r="A16" s="3"/>
      <c r="B16" s="3"/>
      <c r="C16" s="93"/>
      <c r="D16" s="408" t="s">
        <v>94</v>
      </c>
      <c r="E16" s="409"/>
      <c r="F16" s="409"/>
      <c r="G16" s="409"/>
    </row>
    <row r="17" spans="1:11" ht="15.75" customHeight="1">
      <c r="A17" s="3"/>
      <c r="B17" s="3"/>
      <c r="C17" s="203"/>
      <c r="D17" s="408"/>
      <c r="E17" s="409"/>
      <c r="F17" s="409"/>
      <c r="G17" s="409"/>
    </row>
    <row r="18" spans="1:11">
      <c r="A18" s="3"/>
      <c r="B18" s="3"/>
      <c r="C18" s="203"/>
      <c r="D18" s="39">
        <f>'Labour Analysis'!$E$24*0.1095</f>
        <v>3.504</v>
      </c>
      <c r="E18" s="34">
        <v>0</v>
      </c>
      <c r="F18" s="34">
        <f>'Material Analysis'!I93</f>
        <v>8.5</v>
      </c>
      <c r="G18" s="34">
        <v>0</v>
      </c>
      <c r="H18" s="27">
        <f ca="1">$C15</f>
        <v>50.000000000000007</v>
      </c>
      <c r="I18" s="50" t="s">
        <v>39</v>
      </c>
      <c r="J18" s="59">
        <f>SUM(D18:G18)</f>
        <v>12.004</v>
      </c>
      <c r="K18" s="49">
        <f ca="1">J18*H18</f>
        <v>600.20000000000005</v>
      </c>
    </row>
    <row r="20" spans="1:11" ht="15" customHeight="1" thickBot="1"/>
    <row r="21" spans="1:11" ht="15" customHeight="1">
      <c r="B21" s="113">
        <f ca="1">$C15</f>
        <v>50.000000000000007</v>
      </c>
      <c r="C21" s="496">
        <f ca="1">SUM(B21*B22*B23)</f>
        <v>8.0000000000000018</v>
      </c>
      <c r="D21" s="416" t="s">
        <v>95</v>
      </c>
      <c r="E21" s="417"/>
      <c r="F21" s="417"/>
      <c r="G21" s="417"/>
    </row>
    <row r="22" spans="1:11" ht="15" customHeight="1">
      <c r="A22" s="4"/>
      <c r="B22" s="4">
        <v>0.4</v>
      </c>
      <c r="C22" s="497"/>
      <c r="D22" s="39">
        <f>'Labour Analysis'!$E$24*0.5</f>
        <v>16</v>
      </c>
      <c r="E22" s="34">
        <v>0</v>
      </c>
      <c r="F22" s="34">
        <f>'Material Analysis'!I6</f>
        <v>31.5</v>
      </c>
      <c r="G22" s="34">
        <v>0</v>
      </c>
      <c r="H22" s="27">
        <f ca="1">$C21</f>
        <v>8.0000000000000018</v>
      </c>
      <c r="I22" s="27" t="s">
        <v>19</v>
      </c>
      <c r="J22" s="59">
        <f>SUM(D22:G22)</f>
        <v>47.5</v>
      </c>
      <c r="K22" s="49">
        <f ca="1">SUM(H22*J22)</f>
        <v>380.00000000000006</v>
      </c>
    </row>
    <row r="23" spans="1:11" ht="15.75" thickBot="1">
      <c r="A23" s="4"/>
      <c r="B23" s="114">
        <v>0.4</v>
      </c>
      <c r="C23" s="498"/>
      <c r="D23" s="124"/>
      <c r="E23"/>
      <c r="F23"/>
      <c r="G23"/>
      <c r="K23" s="71"/>
    </row>
    <row r="25" spans="1:11" ht="15" customHeight="1"/>
    <row r="26" spans="1:11" ht="15.75" customHeight="1" thickBot="1">
      <c r="A26" s="3"/>
      <c r="B26" s="3"/>
      <c r="C26" s="240"/>
      <c r="D26" s="408" t="s">
        <v>96</v>
      </c>
      <c r="E26" s="409"/>
      <c r="F26" s="409"/>
      <c r="G26" s="409"/>
      <c r="H26" s="2"/>
      <c r="I26" s="2"/>
      <c r="J26" s="2"/>
      <c r="K26" s="10"/>
    </row>
    <row r="27" spans="1:11" ht="15.75" thickBot="1">
      <c r="A27" s="25">
        <v>7</v>
      </c>
      <c r="B27" s="41">
        <v>1</v>
      </c>
      <c r="C27" s="43">
        <f>A27*B27</f>
        <v>7</v>
      </c>
      <c r="D27" s="39">
        <f>'Labour Analysis'!$E$24*0.25</f>
        <v>8</v>
      </c>
      <c r="E27" s="34">
        <v>0</v>
      </c>
      <c r="F27" s="34">
        <f>'Material Analysis'!I94</f>
        <v>18.5</v>
      </c>
      <c r="G27" s="34">
        <v>0</v>
      </c>
      <c r="H27" s="27">
        <f>$C27</f>
        <v>7</v>
      </c>
      <c r="I27" s="50" t="s">
        <v>44</v>
      </c>
      <c r="J27" s="59">
        <f>SUM(D27:G27)</f>
        <v>26.5</v>
      </c>
      <c r="K27" s="49">
        <f>J27*H27</f>
        <v>185.5</v>
      </c>
    </row>
    <row r="28" spans="1:11">
      <c r="C28" s="87"/>
    </row>
    <row r="29" spans="1:11">
      <c r="C29" s="87"/>
    </row>
    <row r="30" spans="1:11" ht="15.75" customHeight="1">
      <c r="C30" s="87"/>
      <c r="D30" s="448" t="s">
        <v>98</v>
      </c>
      <c r="E30" s="449"/>
      <c r="F30" s="449"/>
      <c r="G30" s="450"/>
    </row>
    <row r="31" spans="1:11">
      <c r="C31" s="87"/>
      <c r="D31" s="451"/>
      <c r="E31" s="452"/>
      <c r="F31" s="452"/>
      <c r="G31" s="453"/>
    </row>
    <row r="32" spans="1:11" ht="15.75" thickBot="1">
      <c r="A32" s="3"/>
      <c r="B32" s="3"/>
      <c r="C32" s="238"/>
      <c r="D32" s="451"/>
      <c r="E32" s="452"/>
      <c r="F32" s="452"/>
      <c r="G32" s="453"/>
      <c r="H32" s="2"/>
      <c r="I32" s="2"/>
      <c r="J32" s="2"/>
      <c r="K32" s="10"/>
    </row>
    <row r="33" spans="1:11" ht="15.75" thickBot="1">
      <c r="A33" s="25">
        <v>6</v>
      </c>
      <c r="B33" s="41">
        <v>1</v>
      </c>
      <c r="C33" s="43">
        <f>A33*B33</f>
        <v>6</v>
      </c>
      <c r="D33" s="39">
        <f>'Labour Analysis'!$E$24*1.5</f>
        <v>48</v>
      </c>
      <c r="E33" s="34">
        <v>0</v>
      </c>
      <c r="F33" s="34">
        <f>'Material Analysis'!I98</f>
        <v>285</v>
      </c>
      <c r="G33" s="34">
        <v>0</v>
      </c>
      <c r="H33" s="27">
        <f>$C33</f>
        <v>6</v>
      </c>
      <c r="I33" s="50" t="s">
        <v>44</v>
      </c>
      <c r="J33" s="59">
        <f>SUM(D33:G33)</f>
        <v>333</v>
      </c>
      <c r="K33" s="49">
        <f>J33*H33</f>
        <v>1998</v>
      </c>
    </row>
    <row r="34" spans="1:11" ht="15" customHeight="1">
      <c r="C34" s="87"/>
    </row>
    <row r="35" spans="1:11" ht="15" customHeight="1">
      <c r="C35" s="87"/>
    </row>
    <row r="36" spans="1:11" ht="15" customHeight="1">
      <c r="C36" s="87"/>
      <c r="E36" s="346"/>
      <c r="F36" s="346"/>
      <c r="G36" s="346"/>
    </row>
    <row r="37" spans="1:11">
      <c r="C37" s="87"/>
      <c r="E37" s="346"/>
      <c r="F37" s="346"/>
      <c r="G37" s="346"/>
    </row>
    <row r="38" spans="1:11">
      <c r="C38" s="87"/>
      <c r="E38" s="346"/>
      <c r="F38" s="346"/>
      <c r="G38" s="346"/>
    </row>
    <row r="39" spans="1:11">
      <c r="C39" s="87"/>
      <c r="E39" s="346"/>
      <c r="F39" s="346"/>
      <c r="G39" s="346"/>
    </row>
    <row r="40" spans="1:11">
      <c r="C40" s="87"/>
      <c r="E40" s="346"/>
      <c r="F40" s="346"/>
      <c r="G40" s="346"/>
    </row>
    <row r="41" spans="1:11">
      <c r="C41" s="87"/>
      <c r="E41" s="346"/>
      <c r="F41" s="346"/>
      <c r="G41" s="346"/>
    </row>
    <row r="42" spans="1:11">
      <c r="C42" s="87"/>
      <c r="E42" s="346"/>
      <c r="F42" s="346"/>
      <c r="G42" s="346"/>
    </row>
    <row r="43" spans="1:11">
      <c r="C43" s="87"/>
      <c r="E43" s="346"/>
      <c r="F43" s="346"/>
      <c r="G43" s="346"/>
    </row>
    <row r="44" spans="1:11">
      <c r="C44" s="87"/>
      <c r="E44" s="346"/>
      <c r="F44" s="346"/>
      <c r="G44" s="346"/>
    </row>
    <row r="45" spans="1:11">
      <c r="C45" s="87"/>
      <c r="E45" s="346"/>
      <c r="F45" s="346"/>
      <c r="G45" s="346"/>
    </row>
    <row r="46" spans="1:11">
      <c r="C46" s="87"/>
      <c r="E46" s="346"/>
      <c r="F46" s="346"/>
      <c r="G46" s="346"/>
    </row>
    <row r="47" spans="1:11">
      <c r="C47" s="87"/>
      <c r="E47" s="346"/>
      <c r="F47" s="346"/>
      <c r="G47" s="346"/>
    </row>
    <row r="48" spans="1:11">
      <c r="C48" s="87"/>
      <c r="E48" s="346"/>
      <c r="F48" s="346"/>
      <c r="G48" s="346"/>
    </row>
    <row r="49" spans="2:11">
      <c r="C49" s="87"/>
      <c r="E49" s="346"/>
      <c r="F49" s="346"/>
      <c r="G49" s="346"/>
    </row>
    <row r="50" spans="2:11" ht="15" customHeight="1">
      <c r="C50" s="87"/>
      <c r="E50" s="346"/>
      <c r="F50" s="346"/>
      <c r="G50" s="346"/>
    </row>
    <row r="51" spans="2:11" ht="15" customHeight="1">
      <c r="C51" s="87"/>
      <c r="E51" s="346"/>
      <c r="F51" s="346"/>
      <c r="G51" s="346"/>
    </row>
    <row r="52" spans="2:11" ht="15" customHeight="1">
      <c r="C52" s="87"/>
      <c r="E52" s="346"/>
      <c r="F52" s="346"/>
      <c r="G52" s="346"/>
    </row>
    <row r="53" spans="2:11" ht="15" customHeight="1">
      <c r="C53" s="87"/>
      <c r="E53" s="346"/>
      <c r="F53" s="346"/>
      <c r="G53" s="346"/>
    </row>
    <row r="54" spans="2:11" ht="15" customHeight="1">
      <c r="C54" s="87"/>
      <c r="E54" s="346"/>
      <c r="F54" s="346"/>
      <c r="G54" s="346"/>
    </row>
    <row r="55" spans="2:11">
      <c r="C55" s="87"/>
      <c r="E55" s="346"/>
      <c r="F55" s="346"/>
      <c r="G55" s="346"/>
    </row>
    <row r="56" spans="2:11">
      <c r="C56" s="87"/>
      <c r="E56" s="346"/>
      <c r="F56" s="346"/>
      <c r="G56" s="346"/>
    </row>
    <row r="61" spans="2:11" ht="15.75" thickBot="1"/>
    <row r="62" spans="2:11" ht="17.25" thickTop="1" thickBot="1">
      <c r="B62" s="405" t="s">
        <v>36</v>
      </c>
      <c r="C62" s="406"/>
      <c r="D62" s="72">
        <f ca="1">SUMPRODUCT(D1:D61,$H1:$H61)</f>
        <v>734.2</v>
      </c>
      <c r="E62" s="72">
        <f ca="1">SUMPRODUCT(E1:E61,$H1:$H61)</f>
        <v>438.00000000000006</v>
      </c>
      <c r="F62" s="72">
        <f ca="1">SUMPRODUCT(F1:F61,$H1:$H61)</f>
        <v>2516.5</v>
      </c>
      <c r="G62" s="72">
        <f ca="1">SUMPRODUCT(G1:G61,$H1:$H61)</f>
        <v>0</v>
      </c>
      <c r="H62" s="57">
        <f ca="1">SUM(D62:G62)</f>
        <v>3688.7</v>
      </c>
      <c r="I62" s="54"/>
      <c r="J62" s="199"/>
      <c r="K62" s="56">
        <f ca="1">SUM(K4:K61)</f>
        <v>3688.7</v>
      </c>
    </row>
    <row r="63" spans="2:11">
      <c r="B63" s="29"/>
      <c r="C63" s="14"/>
      <c r="G63" s="17"/>
      <c r="H63" s="4"/>
      <c r="I63" s="4"/>
      <c r="K63" s="58" t="str">
        <f ca="1">IF((H62+J62)=K62,"Correct")</f>
        <v>Correct</v>
      </c>
    </row>
    <row r="71" spans="2:11" s="29" customFormat="1" ht="15.75" customHeight="1">
      <c r="B71" s="13"/>
      <c r="C71" s="45"/>
      <c r="D71" s="9"/>
      <c r="E71" s="244"/>
      <c r="F71" s="244"/>
      <c r="G71" s="244"/>
      <c r="H71" s="51"/>
      <c r="I71" s="51"/>
      <c r="J71" s="4"/>
      <c r="K71" s="11"/>
    </row>
    <row r="73" spans="2:11" s="29" customFormat="1" ht="15" customHeight="1">
      <c r="B73" s="13"/>
      <c r="C73" s="45"/>
      <c r="D73" s="9"/>
      <c r="E73" s="244"/>
      <c r="F73" s="244"/>
      <c r="G73" s="244"/>
      <c r="H73" s="51"/>
      <c r="I73" s="51"/>
      <c r="J73" s="4"/>
      <c r="K73" s="11"/>
    </row>
    <row r="75" spans="2:11" s="29" customFormat="1" ht="15" customHeight="1">
      <c r="B75" s="13"/>
      <c r="C75" s="45"/>
      <c r="D75" s="9"/>
      <c r="E75" s="244"/>
      <c r="F75" s="244"/>
      <c r="G75" s="244"/>
      <c r="H75" s="51"/>
      <c r="I75" s="51"/>
      <c r="J75" s="4"/>
      <c r="K75" s="11"/>
    </row>
    <row r="81" spans="2:11" s="29" customFormat="1" ht="15" customHeight="1">
      <c r="B81" s="13"/>
      <c r="C81" s="45"/>
      <c r="D81" s="9"/>
      <c r="E81" s="244"/>
      <c r="F81" s="244"/>
      <c r="G81" s="244"/>
      <c r="H81" s="51"/>
      <c r="I81" s="51"/>
      <c r="J81" s="4"/>
      <c r="K81" s="11"/>
    </row>
  </sheetData>
  <sheetProtection sheet="1" objects="1" scenarios="1" selectLockedCells="1" selectUnlockedCells="1"/>
  <mergeCells count="17">
    <mergeCell ref="A2:A3"/>
    <mergeCell ref="B2:C3"/>
    <mergeCell ref="D2:G2"/>
    <mergeCell ref="H2:H3"/>
    <mergeCell ref="I2:I3"/>
    <mergeCell ref="K2:K3"/>
    <mergeCell ref="D5:G8"/>
    <mergeCell ref="E11:F11"/>
    <mergeCell ref="D16:G17"/>
    <mergeCell ref="C21:C23"/>
    <mergeCell ref="D21:G21"/>
    <mergeCell ref="J2:J3"/>
    <mergeCell ref="B62:C62"/>
    <mergeCell ref="E15:F15"/>
    <mergeCell ref="D12:G12"/>
    <mergeCell ref="D26:G26"/>
    <mergeCell ref="D30:G32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 Ltd&amp;C&amp;P of &amp;N&amp;R&amp;A</oddFooter>
  </headerFooter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7"/>
  <dimension ref="A1:K79"/>
  <sheetViews>
    <sheetView view="pageLayout" topLeftCell="A56" workbookViewId="0">
      <selection activeCell="F56" sqref="F56"/>
    </sheetView>
  </sheetViews>
  <sheetFormatPr defaultRowHeight="15"/>
  <cols>
    <col min="1" max="1" width="10.5703125" style="29" customWidth="1"/>
    <col min="2" max="2" width="10.5703125" style="13" customWidth="1"/>
    <col min="3" max="3" width="10.5703125" style="45" customWidth="1"/>
    <col min="4" max="4" width="9.28515625" style="9" bestFit="1" customWidth="1"/>
    <col min="5" max="5" width="9.28515625" style="244" customWidth="1"/>
    <col min="6" max="6" width="9.28515625" style="244" bestFit="1" customWidth="1"/>
    <col min="7" max="7" width="9.28515625" style="244" customWidth="1"/>
    <col min="8" max="8" width="10.5703125" style="51" customWidth="1"/>
    <col min="9" max="9" width="5.140625" style="51" customWidth="1"/>
    <col min="10" max="10" width="10.5703125" style="4" customWidth="1"/>
    <col min="11" max="11" width="10.5703125" style="11" customWidth="1"/>
  </cols>
  <sheetData>
    <row r="1" spans="1:11">
      <c r="A1" s="111" t="s">
        <v>471</v>
      </c>
      <c r="B1" s="60"/>
      <c r="C1" s="112"/>
      <c r="D1" s="242"/>
      <c r="E1" s="242"/>
      <c r="F1" s="242"/>
      <c r="G1" s="242"/>
      <c r="H1" s="106"/>
      <c r="I1" s="106"/>
      <c r="J1" s="106"/>
      <c r="K1" s="61"/>
    </row>
    <row r="2" spans="1:11" s="1" customFormat="1">
      <c r="A2" s="421" t="s">
        <v>0</v>
      </c>
      <c r="B2" s="421" t="s">
        <v>1</v>
      </c>
      <c r="C2" s="433"/>
      <c r="D2" s="432" t="s">
        <v>2</v>
      </c>
      <c r="E2" s="425"/>
      <c r="F2" s="425"/>
      <c r="G2" s="433"/>
      <c r="H2" s="423" t="s">
        <v>6</v>
      </c>
      <c r="I2" s="423" t="s">
        <v>7</v>
      </c>
      <c r="J2" s="430" t="s">
        <v>8</v>
      </c>
      <c r="K2" s="434" t="s">
        <v>9</v>
      </c>
    </row>
    <row r="3" spans="1:11" s="6" customFormat="1">
      <c r="A3" s="422"/>
      <c r="B3" s="422"/>
      <c r="C3" s="461"/>
      <c r="D3" s="7" t="s">
        <v>3</v>
      </c>
      <c r="E3" s="243" t="s">
        <v>4</v>
      </c>
      <c r="F3" s="243" t="s">
        <v>5</v>
      </c>
      <c r="G3" s="243" t="s">
        <v>45</v>
      </c>
      <c r="H3" s="424"/>
      <c r="I3" s="424"/>
      <c r="J3" s="431"/>
      <c r="K3" s="435"/>
    </row>
    <row r="4" spans="1:11">
      <c r="A4" s="3"/>
      <c r="B4" s="5"/>
      <c r="C4" s="62"/>
      <c r="D4" s="8"/>
      <c r="E4" s="245"/>
      <c r="F4" s="245"/>
      <c r="G4" s="245"/>
      <c r="H4" s="5"/>
      <c r="I4" s="70"/>
      <c r="J4" s="3"/>
      <c r="K4" s="10"/>
    </row>
    <row r="5" spans="1:11" ht="15" customHeight="1">
      <c r="A5" s="59">
        <v>1</v>
      </c>
      <c r="B5" s="59">
        <v>1.8</v>
      </c>
      <c r="C5" s="241">
        <f t="shared" ref="C5:C14" si="0">A5*B5</f>
        <v>1.8</v>
      </c>
      <c r="D5" s="448" t="s">
        <v>210</v>
      </c>
      <c r="E5" s="449"/>
      <c r="F5" s="449"/>
      <c r="G5" s="450"/>
    </row>
    <row r="6" spans="1:11">
      <c r="A6" s="59">
        <v>1</v>
      </c>
      <c r="B6" s="59">
        <v>4.2</v>
      </c>
      <c r="C6" s="241">
        <f t="shared" si="0"/>
        <v>4.2</v>
      </c>
      <c r="D6" s="451"/>
      <c r="E6" s="452"/>
      <c r="F6" s="452"/>
      <c r="G6" s="453"/>
    </row>
    <row r="7" spans="1:11">
      <c r="A7" s="41">
        <v>1</v>
      </c>
      <c r="B7" s="41">
        <v>2.2000000000000002</v>
      </c>
      <c r="C7" s="239">
        <f t="shared" si="0"/>
        <v>2.2000000000000002</v>
      </c>
      <c r="D7" s="451"/>
      <c r="E7" s="452"/>
      <c r="F7" s="452"/>
      <c r="G7" s="453"/>
    </row>
    <row r="8" spans="1:11">
      <c r="A8" s="59">
        <v>1</v>
      </c>
      <c r="B8" s="59">
        <v>6.2</v>
      </c>
      <c r="C8" s="345">
        <f t="shared" si="0"/>
        <v>6.2</v>
      </c>
      <c r="D8" s="451"/>
      <c r="E8" s="452"/>
      <c r="F8" s="452"/>
      <c r="G8" s="453"/>
    </row>
    <row r="9" spans="1:11">
      <c r="A9" s="59">
        <v>1</v>
      </c>
      <c r="B9" s="59">
        <v>7.2</v>
      </c>
      <c r="C9" s="345">
        <f t="shared" si="0"/>
        <v>7.2</v>
      </c>
      <c r="D9" s="39">
        <v>1.74</v>
      </c>
      <c r="E9" s="34">
        <f ca="1">SUM((((H9*0.4*0.4)/'Plant Analysis'!B20)*'Plant Analysis'!E18)/H9)</f>
        <v>1.3333333333333335</v>
      </c>
      <c r="F9" s="34">
        <v>0</v>
      </c>
      <c r="G9" s="34">
        <v>0</v>
      </c>
      <c r="H9" s="27">
        <f ca="1">$C15</f>
        <v>88.3</v>
      </c>
      <c r="I9" s="50" t="s">
        <v>39</v>
      </c>
      <c r="J9" s="59">
        <f ca="1">SUM(D9:G9)</f>
        <v>3.0733333333333333</v>
      </c>
      <c r="K9" s="49">
        <f ca="1">J9*H9</f>
        <v>271.37533333333334</v>
      </c>
    </row>
    <row r="10" spans="1:11" ht="15.75" customHeight="1">
      <c r="A10" s="41">
        <v>1</v>
      </c>
      <c r="B10" s="41">
        <v>14.5</v>
      </c>
      <c r="C10" s="344">
        <f t="shared" si="0"/>
        <v>14.5</v>
      </c>
    </row>
    <row r="11" spans="1:11">
      <c r="A11" s="59">
        <v>1</v>
      </c>
      <c r="B11" s="59">
        <v>2.2000000000000002</v>
      </c>
      <c r="C11" s="345">
        <f t="shared" si="0"/>
        <v>2.2000000000000002</v>
      </c>
      <c r="E11" s="470" t="s">
        <v>37</v>
      </c>
      <c r="F11" s="470"/>
    </row>
    <row r="12" spans="1:11">
      <c r="A12" s="59">
        <v>1</v>
      </c>
      <c r="B12" s="59">
        <v>18</v>
      </c>
      <c r="C12" s="345">
        <f t="shared" si="0"/>
        <v>18</v>
      </c>
      <c r="D12" s="439" t="s">
        <v>352</v>
      </c>
      <c r="E12" s="440"/>
      <c r="F12" s="440"/>
      <c r="G12" s="441"/>
    </row>
    <row r="13" spans="1:11">
      <c r="A13" s="41">
        <v>1</v>
      </c>
      <c r="B13" s="41">
        <v>17</v>
      </c>
      <c r="C13" s="344">
        <f t="shared" si="0"/>
        <v>17</v>
      </c>
      <c r="D13" s="39">
        <v>0</v>
      </c>
      <c r="E13" s="34">
        <f ca="1">SUM(((((H13*0.4*0.4)*1.6)/'Plant Analysis'!B33)*'Plant Analysis'!B32)/H13)</f>
        <v>3.8400000000000007</v>
      </c>
      <c r="F13" s="34">
        <v>0</v>
      </c>
      <c r="G13" s="34">
        <v>0</v>
      </c>
      <c r="H13" s="27">
        <f ca="1">$C15</f>
        <v>88.3</v>
      </c>
      <c r="I13" s="50" t="s">
        <v>39</v>
      </c>
      <c r="J13" s="59">
        <f ca="1">SUM(D13:G13)</f>
        <v>3.8400000000000007</v>
      </c>
      <c r="K13" s="49">
        <f ca="1">J13*H13</f>
        <v>339.07200000000006</v>
      </c>
    </row>
    <row r="14" spans="1:11" ht="15.75" customHeight="1" thickBot="1">
      <c r="A14" s="41">
        <v>1</v>
      </c>
      <c r="B14" s="41">
        <v>15</v>
      </c>
      <c r="C14" s="344">
        <f t="shared" si="0"/>
        <v>15</v>
      </c>
    </row>
    <row r="15" spans="1:11" ht="15.75" thickBot="1">
      <c r="A15" s="55"/>
      <c r="B15" s="179"/>
      <c r="C15" s="121">
        <f ca="1">SUM(C5:(OFFSET(C15,-1,0)))</f>
        <v>88.3</v>
      </c>
      <c r="E15" s="420" t="s">
        <v>37</v>
      </c>
      <c r="F15" s="420"/>
    </row>
    <row r="16" spans="1:11">
      <c r="D16" s="408" t="s">
        <v>94</v>
      </c>
      <c r="E16" s="409"/>
      <c r="F16" s="409"/>
      <c r="G16" s="409"/>
    </row>
    <row r="17" spans="1:11">
      <c r="D17" s="408"/>
      <c r="E17" s="409"/>
      <c r="F17" s="409"/>
      <c r="G17" s="409"/>
    </row>
    <row r="18" spans="1:11" ht="15.75" customHeight="1">
      <c r="D18" s="39">
        <f>'Labour Analysis'!$E$24*0.1095</f>
        <v>3.504</v>
      </c>
      <c r="E18" s="34">
        <v>0</v>
      </c>
      <c r="F18" s="34">
        <f>'Material Analysis'!I93</f>
        <v>8.5</v>
      </c>
      <c r="G18" s="34">
        <v>0</v>
      </c>
      <c r="H18" s="27">
        <f ca="1">$C15</f>
        <v>88.3</v>
      </c>
      <c r="I18" s="50" t="s">
        <v>39</v>
      </c>
      <c r="J18" s="59">
        <f>SUM(D18:G18)</f>
        <v>12.004</v>
      </c>
      <c r="K18" s="49">
        <f ca="1">J18*H18</f>
        <v>1059.9531999999999</v>
      </c>
    </row>
    <row r="20" spans="1:11" ht="15.75" thickBot="1"/>
    <row r="21" spans="1:11" ht="15" customHeight="1">
      <c r="B21" s="113">
        <f ca="1">$C15</f>
        <v>88.3</v>
      </c>
      <c r="C21" s="496">
        <f ca="1">SUM(B21*B22*B23)</f>
        <v>14.128</v>
      </c>
      <c r="D21" s="416" t="s">
        <v>95</v>
      </c>
      <c r="E21" s="417"/>
      <c r="F21" s="417"/>
      <c r="G21" s="417"/>
    </row>
    <row r="22" spans="1:11" ht="15" customHeight="1">
      <c r="A22" s="4"/>
      <c r="B22" s="4">
        <v>0.4</v>
      </c>
      <c r="C22" s="497"/>
      <c r="D22" s="39">
        <f>'Labour Analysis'!$E$24*0.5</f>
        <v>16</v>
      </c>
      <c r="E22" s="34">
        <v>0</v>
      </c>
      <c r="F22" s="34">
        <f>'Material Analysis'!I6</f>
        <v>31.5</v>
      </c>
      <c r="G22" s="34">
        <v>0</v>
      </c>
      <c r="H22" s="27">
        <f ca="1">$C21</f>
        <v>14.128</v>
      </c>
      <c r="I22" s="27" t="s">
        <v>19</v>
      </c>
      <c r="J22" s="59">
        <f>SUM(D22:G22)</f>
        <v>47.5</v>
      </c>
      <c r="K22" s="49">
        <f ca="1">SUM(H22*J22)</f>
        <v>671.08</v>
      </c>
    </row>
    <row r="23" spans="1:11" ht="15" customHeight="1" thickBot="1">
      <c r="A23" s="4"/>
      <c r="B23" s="114">
        <v>0.4</v>
      </c>
      <c r="C23" s="498"/>
      <c r="D23" s="124"/>
      <c r="E23"/>
      <c r="F23"/>
      <c r="G23"/>
      <c r="K23" s="71"/>
    </row>
    <row r="26" spans="1:11" ht="15" customHeight="1" thickBot="1">
      <c r="A26" s="3"/>
      <c r="B26" s="3"/>
      <c r="C26" s="240"/>
      <c r="D26" s="408" t="s">
        <v>96</v>
      </c>
      <c r="E26" s="409"/>
      <c r="F26" s="409"/>
      <c r="G26" s="409"/>
      <c r="H26" s="2"/>
      <c r="I26" s="2"/>
      <c r="J26" s="2"/>
      <c r="K26" s="10"/>
    </row>
    <row r="27" spans="1:11" ht="15.75" customHeight="1" thickBot="1">
      <c r="A27" s="25">
        <v>4</v>
      </c>
      <c r="B27" s="41">
        <v>1</v>
      </c>
      <c r="C27" s="43">
        <f>A27*B27</f>
        <v>4</v>
      </c>
      <c r="D27" s="39">
        <f>'Labour Analysis'!$E$24*0.25</f>
        <v>8</v>
      </c>
      <c r="E27" s="34">
        <v>0</v>
      </c>
      <c r="F27" s="34">
        <f>'Material Analysis'!I94</f>
        <v>18.5</v>
      </c>
      <c r="G27" s="34">
        <v>0</v>
      </c>
      <c r="H27" s="27">
        <f>$C27</f>
        <v>4</v>
      </c>
      <c r="I27" s="50" t="s">
        <v>44</v>
      </c>
      <c r="J27" s="59">
        <f>SUM(D27:G27)</f>
        <v>26.5</v>
      </c>
      <c r="K27" s="49">
        <f>J27*H27</f>
        <v>106</v>
      </c>
    </row>
    <row r="28" spans="1:11">
      <c r="C28" s="87"/>
    </row>
    <row r="29" spans="1:11">
      <c r="C29" s="87"/>
    </row>
    <row r="30" spans="1:11" ht="15.75" thickBot="1">
      <c r="A30" s="3"/>
      <c r="B30" s="3"/>
      <c r="C30" s="238"/>
      <c r="D30" s="408" t="s">
        <v>97</v>
      </c>
      <c r="E30" s="409"/>
      <c r="F30" s="409"/>
      <c r="G30" s="409"/>
      <c r="H30" s="2"/>
      <c r="I30" s="2"/>
      <c r="J30" s="2"/>
      <c r="K30" s="10"/>
    </row>
    <row r="31" spans="1:11" ht="15.75" customHeight="1" thickBot="1">
      <c r="A31" s="25">
        <v>1</v>
      </c>
      <c r="B31" s="41">
        <v>1</v>
      </c>
      <c r="C31" s="43">
        <f>A31*B31</f>
        <v>1</v>
      </c>
      <c r="D31" s="39">
        <f>'Labour Analysis'!$E$24*0.25</f>
        <v>8</v>
      </c>
      <c r="E31" s="34">
        <v>0</v>
      </c>
      <c r="F31" s="34">
        <f>'Material Analysis'!I95</f>
        <v>75</v>
      </c>
      <c r="G31" s="34">
        <v>0</v>
      </c>
      <c r="H31" s="27">
        <f>$C31</f>
        <v>1</v>
      </c>
      <c r="I31" s="50" t="s">
        <v>44</v>
      </c>
      <c r="J31" s="59">
        <f>SUM(D31:G31)</f>
        <v>83</v>
      </c>
      <c r="K31" s="49">
        <f>J31*H31</f>
        <v>83</v>
      </c>
    </row>
    <row r="32" spans="1:11">
      <c r="C32" s="87"/>
    </row>
    <row r="33" spans="1:11">
      <c r="C33" s="87"/>
    </row>
    <row r="34" spans="1:11" ht="15.75" customHeight="1">
      <c r="D34" s="448" t="s">
        <v>98</v>
      </c>
      <c r="E34" s="449"/>
      <c r="F34" s="449"/>
      <c r="G34" s="450"/>
    </row>
    <row r="35" spans="1:11" ht="15" customHeight="1">
      <c r="D35" s="451"/>
      <c r="E35" s="452"/>
      <c r="F35" s="452"/>
      <c r="G35" s="453"/>
    </row>
    <row r="36" spans="1:11" ht="15" customHeight="1" thickBot="1">
      <c r="A36" s="3"/>
      <c r="B36" s="3"/>
      <c r="C36" s="240"/>
      <c r="D36" s="451"/>
      <c r="E36" s="452"/>
      <c r="F36" s="452"/>
      <c r="G36" s="453"/>
      <c r="H36" s="2"/>
      <c r="I36" s="2"/>
      <c r="J36" s="2"/>
      <c r="K36" s="10"/>
    </row>
    <row r="37" spans="1:11" ht="15.75" thickBot="1">
      <c r="A37" s="25">
        <v>4</v>
      </c>
      <c r="B37" s="41">
        <v>1</v>
      </c>
      <c r="C37" s="64">
        <f>A37*B37</f>
        <v>4</v>
      </c>
      <c r="D37" s="39">
        <f>'Labour Analysis'!$E$24*1.5</f>
        <v>48</v>
      </c>
      <c r="E37" s="34">
        <v>0</v>
      </c>
      <c r="F37" s="34">
        <f>'Material Analysis'!I98</f>
        <v>285</v>
      </c>
      <c r="G37" s="34">
        <v>0</v>
      </c>
      <c r="H37" s="27">
        <f>$C37</f>
        <v>4</v>
      </c>
      <c r="I37" s="50" t="s">
        <v>44</v>
      </c>
      <c r="J37" s="59">
        <f>SUM(D37:G37)</f>
        <v>333</v>
      </c>
      <c r="K37" s="49">
        <f>J37*H37</f>
        <v>1332</v>
      </c>
    </row>
    <row r="38" spans="1:11" ht="15" customHeight="1"/>
    <row r="40" spans="1:11">
      <c r="A40" s="3"/>
      <c r="B40" s="3"/>
      <c r="C40" s="240"/>
      <c r="D40" s="448" t="s">
        <v>99</v>
      </c>
      <c r="E40" s="449"/>
      <c r="F40" s="449"/>
      <c r="G40" s="450"/>
      <c r="H40" s="2"/>
      <c r="I40" s="2"/>
      <c r="J40" s="2"/>
      <c r="K40" s="10"/>
    </row>
    <row r="41" spans="1:11" ht="15.75" thickBot="1">
      <c r="A41" s="3"/>
      <c r="B41" s="3"/>
      <c r="C41" s="100"/>
      <c r="D41" s="454"/>
      <c r="E41" s="455"/>
      <c r="F41" s="455"/>
      <c r="G41" s="456"/>
      <c r="H41" s="2"/>
      <c r="I41" s="2"/>
      <c r="J41" s="2"/>
      <c r="K41" s="10"/>
    </row>
    <row r="42" spans="1:11" ht="15.75" thickBot="1">
      <c r="A42" s="25">
        <v>6</v>
      </c>
      <c r="B42" s="41">
        <v>1</v>
      </c>
      <c r="C42" s="64">
        <f>A42*B42</f>
        <v>6</v>
      </c>
      <c r="D42" s="39">
        <f>'Labour Analysis'!$E$24*0.5</f>
        <v>16</v>
      </c>
      <c r="E42" s="34">
        <v>0</v>
      </c>
      <c r="F42" s="34">
        <v>10</v>
      </c>
      <c r="G42" s="34">
        <v>0</v>
      </c>
      <c r="H42" s="27">
        <f>$C42</f>
        <v>6</v>
      </c>
      <c r="I42" s="50" t="s">
        <v>44</v>
      </c>
      <c r="J42" s="59">
        <f>SUM(D42:G42)</f>
        <v>26</v>
      </c>
      <c r="K42" s="49">
        <f>J42*H42</f>
        <v>156</v>
      </c>
    </row>
    <row r="45" spans="1:11">
      <c r="E45" s="346"/>
      <c r="F45" s="346"/>
      <c r="G45" s="346"/>
    </row>
    <row r="46" spans="1:11">
      <c r="E46" s="346"/>
      <c r="F46" s="346"/>
      <c r="G46" s="346"/>
    </row>
    <row r="47" spans="1:11">
      <c r="E47" s="346"/>
      <c r="F47" s="346"/>
      <c r="G47" s="346"/>
    </row>
    <row r="48" spans="1:11">
      <c r="E48" s="346"/>
      <c r="F48" s="346"/>
      <c r="G48" s="346"/>
    </row>
    <row r="49" spans="2:11">
      <c r="E49" s="346"/>
      <c r="F49" s="346"/>
      <c r="G49" s="346"/>
    </row>
    <row r="50" spans="2:11">
      <c r="E50" s="346"/>
      <c r="F50" s="346"/>
      <c r="G50" s="346"/>
    </row>
    <row r="51" spans="2:11" ht="15" customHeight="1">
      <c r="E51" s="346"/>
      <c r="F51" s="346"/>
      <c r="G51" s="346"/>
    </row>
    <row r="52" spans="2:11" ht="15" customHeight="1">
      <c r="E52" s="346"/>
      <c r="F52" s="346"/>
      <c r="G52" s="346"/>
    </row>
    <row r="61" spans="2:11" ht="15.75" thickBot="1"/>
    <row r="62" spans="2:11" ht="17.25" thickTop="1" thickBot="1">
      <c r="B62" s="405" t="s">
        <v>36</v>
      </c>
      <c r="C62" s="406"/>
      <c r="D62" s="72">
        <f ca="1">SUMPRODUCT(D1:D61,$H1:$H61)</f>
        <v>1017.0932</v>
      </c>
      <c r="E62" s="72">
        <f ca="1">SUMPRODUCT(E1:E61,$H1:$H61)</f>
        <v>456.80533333333341</v>
      </c>
      <c r="F62" s="72">
        <f ca="1">SUMPRODUCT(F1:F61,$H1:$H61)</f>
        <v>2544.5819999999999</v>
      </c>
      <c r="G62" s="72">
        <f ca="1">SUMPRODUCT(G1:G61,$H1:$H61)</f>
        <v>0</v>
      </c>
      <c r="H62" s="57">
        <f ca="1">SUM(D62:G62)</f>
        <v>4018.4805333333334</v>
      </c>
      <c r="I62" s="54"/>
      <c r="J62" s="199"/>
      <c r="K62" s="56">
        <f ca="1">SUM(K5:K61)</f>
        <v>4018.4805333333334</v>
      </c>
    </row>
    <row r="63" spans="2:11">
      <c r="B63" s="29"/>
      <c r="C63" s="14"/>
      <c r="G63" s="17"/>
      <c r="H63" s="4"/>
      <c r="I63" s="4"/>
      <c r="K63" s="58" t="str">
        <f ca="1">IF((H62+J62)=K62,"Correct")</f>
        <v>Correct</v>
      </c>
    </row>
    <row r="69" spans="2:11" s="29" customFormat="1" ht="15.75" customHeight="1">
      <c r="B69" s="13"/>
      <c r="C69" s="45"/>
      <c r="D69" s="9"/>
      <c r="E69" s="244"/>
      <c r="F69" s="244"/>
      <c r="G69" s="244"/>
      <c r="H69" s="51"/>
      <c r="I69" s="51"/>
      <c r="J69" s="4"/>
      <c r="K69" s="11"/>
    </row>
    <row r="71" spans="2:11" s="29" customFormat="1" ht="15" customHeight="1">
      <c r="B71" s="13"/>
      <c r="C71" s="45"/>
      <c r="D71" s="9"/>
      <c r="E71" s="244"/>
      <c r="F71" s="244"/>
      <c r="G71" s="244"/>
      <c r="H71" s="51"/>
      <c r="I71" s="51"/>
      <c r="J71" s="4"/>
      <c r="K71" s="11"/>
    </row>
    <row r="73" spans="2:11" s="29" customFormat="1" ht="15" customHeight="1">
      <c r="B73" s="13"/>
      <c r="C73" s="45"/>
      <c r="D73" s="9"/>
      <c r="E73" s="244"/>
      <c r="F73" s="244"/>
      <c r="G73" s="244"/>
      <c r="H73" s="51"/>
      <c r="I73" s="51"/>
      <c r="J73" s="4"/>
      <c r="K73" s="11"/>
    </row>
    <row r="79" spans="2:11" s="29" customFormat="1" ht="15" customHeight="1">
      <c r="B79" s="13"/>
      <c r="C79" s="45"/>
      <c r="D79" s="9"/>
      <c r="E79" s="244"/>
      <c r="F79" s="244"/>
      <c r="G79" s="244"/>
      <c r="H79" s="51"/>
      <c r="I79" s="51"/>
      <c r="J79" s="4"/>
      <c r="K79" s="11"/>
    </row>
  </sheetData>
  <sheetProtection sheet="1" objects="1" scenarios="1" selectLockedCells="1" selectUnlockedCells="1"/>
  <mergeCells count="19">
    <mergeCell ref="A2:A3"/>
    <mergeCell ref="B2:C3"/>
    <mergeCell ref="D2:G2"/>
    <mergeCell ref="H2:H3"/>
    <mergeCell ref="I2:I3"/>
    <mergeCell ref="K2:K3"/>
    <mergeCell ref="D5:G8"/>
    <mergeCell ref="E11:F11"/>
    <mergeCell ref="D16:G17"/>
    <mergeCell ref="C21:C23"/>
    <mergeCell ref="D21:G21"/>
    <mergeCell ref="J2:J3"/>
    <mergeCell ref="B62:C62"/>
    <mergeCell ref="D12:G12"/>
    <mergeCell ref="E15:F15"/>
    <mergeCell ref="D26:G26"/>
    <mergeCell ref="D30:G30"/>
    <mergeCell ref="D34:G36"/>
    <mergeCell ref="D40:G41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 Ltd&amp;C&amp;P of &amp;N&amp;R&amp;A</oddFoot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8"/>
  <dimension ref="A1:K122"/>
  <sheetViews>
    <sheetView view="pageLayout" topLeftCell="A45" workbookViewId="0">
      <selection activeCell="D8" sqref="D8"/>
    </sheetView>
  </sheetViews>
  <sheetFormatPr defaultRowHeight="15"/>
  <cols>
    <col min="1" max="1" width="10.5703125" style="29" customWidth="1"/>
    <col min="2" max="2" width="10.5703125" style="13" customWidth="1"/>
    <col min="3" max="3" width="10.5703125" style="45" customWidth="1"/>
    <col min="4" max="4" width="9.42578125" style="9" bestFit="1" customWidth="1"/>
    <col min="5" max="5" width="9.28515625" style="188" customWidth="1"/>
    <col min="6" max="6" width="9.5703125" style="188" bestFit="1" customWidth="1"/>
    <col min="7" max="7" width="9.28515625" style="188" customWidth="1"/>
    <col min="8" max="8" width="10.5703125" style="51" customWidth="1"/>
    <col min="9" max="9" width="5.140625" style="51" customWidth="1"/>
    <col min="10" max="10" width="10.5703125" style="4" customWidth="1"/>
    <col min="11" max="11" width="12" style="11" bestFit="1" customWidth="1"/>
  </cols>
  <sheetData>
    <row r="1" spans="1:11">
      <c r="A1" s="111" t="s">
        <v>231</v>
      </c>
      <c r="B1" s="60"/>
      <c r="C1" s="112"/>
      <c r="D1" s="185"/>
      <c r="E1" s="185"/>
      <c r="F1" s="185"/>
      <c r="G1" s="185"/>
      <c r="H1" s="106"/>
      <c r="I1" s="106"/>
      <c r="J1" s="106"/>
      <c r="K1" s="61"/>
    </row>
    <row r="2" spans="1:11" s="1" customFormat="1">
      <c r="A2" s="421" t="s">
        <v>0</v>
      </c>
      <c r="B2" s="421" t="s">
        <v>1</v>
      </c>
      <c r="C2" s="433"/>
      <c r="D2" s="432" t="s">
        <v>2</v>
      </c>
      <c r="E2" s="425"/>
      <c r="F2" s="425"/>
      <c r="G2" s="433"/>
      <c r="H2" s="423" t="s">
        <v>6</v>
      </c>
      <c r="I2" s="423" t="s">
        <v>7</v>
      </c>
      <c r="J2" s="430" t="s">
        <v>8</v>
      </c>
      <c r="K2" s="434" t="s">
        <v>9</v>
      </c>
    </row>
    <row r="3" spans="1:11" s="6" customFormat="1">
      <c r="A3" s="422"/>
      <c r="B3" s="422"/>
      <c r="C3" s="461"/>
      <c r="D3" s="7" t="s">
        <v>3</v>
      </c>
      <c r="E3" s="186" t="s">
        <v>4</v>
      </c>
      <c r="F3" s="186" t="s">
        <v>5</v>
      </c>
      <c r="G3" s="186" t="s">
        <v>45</v>
      </c>
      <c r="H3" s="424"/>
      <c r="I3" s="424"/>
      <c r="J3" s="431"/>
      <c r="K3" s="435"/>
    </row>
    <row r="4" spans="1:11" ht="15.75" thickBot="1"/>
    <row r="5" spans="1:11" ht="15" customHeight="1">
      <c r="A5" s="25">
        <v>1</v>
      </c>
      <c r="B5" s="113">
        <v>3.14</v>
      </c>
      <c r="C5" s="496">
        <f>SUM(A5*(B5*(B6*B7)))</f>
        <v>1.3266500000000001</v>
      </c>
      <c r="D5" s="448" t="s">
        <v>932</v>
      </c>
      <c r="E5" s="449"/>
      <c r="F5" s="449"/>
      <c r="G5" s="450"/>
    </row>
    <row r="6" spans="1:11">
      <c r="B6" s="29">
        <v>0.65</v>
      </c>
      <c r="C6" s="497"/>
      <c r="D6" s="181"/>
      <c r="E6" s="98" t="s">
        <v>17</v>
      </c>
      <c r="F6" s="99" t="s">
        <v>18</v>
      </c>
      <c r="G6" s="182"/>
    </row>
    <row r="7" spans="1:11" ht="15.75" thickBot="1">
      <c r="B7" s="197">
        <v>0.65</v>
      </c>
      <c r="C7" s="498"/>
      <c r="D7" s="39"/>
      <c r="E7" s="34">
        <v>1800</v>
      </c>
      <c r="F7" s="34">
        <f>SUM($C5*(E7/1000))</f>
        <v>2.3879700000000001</v>
      </c>
      <c r="G7" s="34"/>
    </row>
    <row r="8" spans="1:11" ht="15.75" customHeight="1">
      <c r="D8" s="36">
        <f>SUM(((H8/'Plant Analysis'!$B$20)*'Labour Analysis'!$E$22)/H8)</f>
        <v>4.8333333333333339</v>
      </c>
      <c r="E8" s="31">
        <f>SUM(((H8/'Plant Analysis'!$B$20)*'Plant Analysis'!$E$18)/H8)</f>
        <v>8.3333333333333339</v>
      </c>
      <c r="F8" s="31">
        <v>0</v>
      </c>
      <c r="G8" s="31">
        <v>0</v>
      </c>
      <c r="H8" s="27">
        <f>$F7</f>
        <v>2.3879700000000001</v>
      </c>
      <c r="I8" s="50" t="s">
        <v>19</v>
      </c>
      <c r="J8" s="59">
        <f>SUM(D8:G8)</f>
        <v>13.166666666666668</v>
      </c>
      <c r="K8" s="49">
        <f>J8*H8</f>
        <v>31.441605000000006</v>
      </c>
    </row>
    <row r="10" spans="1:11" ht="15.75" customHeight="1">
      <c r="A10" s="3"/>
      <c r="B10" s="5"/>
      <c r="C10" s="62"/>
      <c r="D10" s="8"/>
      <c r="E10" s="499" t="s">
        <v>37</v>
      </c>
      <c r="F10" s="499"/>
      <c r="G10" s="348"/>
      <c r="H10" s="70"/>
      <c r="I10" s="70"/>
      <c r="J10" s="2"/>
      <c r="K10" s="10"/>
    </row>
    <row r="11" spans="1:11">
      <c r="A11" s="3"/>
      <c r="B11" s="5"/>
      <c r="C11" s="62"/>
      <c r="D11" s="408" t="s">
        <v>20</v>
      </c>
      <c r="E11" s="409"/>
      <c r="F11" s="409"/>
      <c r="G11" s="409"/>
      <c r="H11" s="2"/>
      <c r="I11" s="2"/>
      <c r="J11" s="2"/>
      <c r="K11" s="10"/>
    </row>
    <row r="12" spans="1:11">
      <c r="A12" s="3"/>
      <c r="B12" s="5"/>
      <c r="C12" s="62"/>
      <c r="D12" s="342"/>
      <c r="E12" s="98" t="s">
        <v>17</v>
      </c>
      <c r="F12" s="99" t="s">
        <v>18</v>
      </c>
      <c r="G12" s="343"/>
      <c r="H12" s="2"/>
      <c r="I12" s="2"/>
      <c r="J12" s="2"/>
      <c r="K12" s="10"/>
    </row>
    <row r="13" spans="1:11">
      <c r="A13" s="3"/>
      <c r="B13" s="5"/>
      <c r="C13" s="62"/>
      <c r="D13" s="39"/>
      <c r="E13" s="34">
        <v>1800</v>
      </c>
      <c r="F13" s="34">
        <f>SUM($C5*(E13/1000))</f>
        <v>2.3879700000000001</v>
      </c>
      <c r="G13" s="34"/>
      <c r="H13" s="2"/>
      <c r="I13" s="2"/>
      <c r="J13" s="2"/>
      <c r="K13" s="10"/>
    </row>
    <row r="14" spans="1:11" ht="15.75" customHeight="1">
      <c r="A14" s="3"/>
      <c r="B14" s="5"/>
      <c r="C14" s="62"/>
      <c r="D14" s="36">
        <v>0</v>
      </c>
      <c r="E14" s="31">
        <f>SUM((((H14*1.6)/'Plant Analysis'!$B$33)*'Plant Analysis'!$B$32)/H14)</f>
        <v>24.000000000000004</v>
      </c>
      <c r="F14" s="31">
        <v>0</v>
      </c>
      <c r="G14" s="31">
        <v>0</v>
      </c>
      <c r="H14" s="25">
        <f>F13</f>
        <v>2.3879700000000001</v>
      </c>
      <c r="I14" s="30" t="s">
        <v>19</v>
      </c>
      <c r="J14" s="41">
        <f>SUM(D14:G14)</f>
        <v>24.000000000000004</v>
      </c>
      <c r="K14" s="42">
        <f>SUM(H14*J14)</f>
        <v>57.311280000000011</v>
      </c>
    </row>
    <row r="15" spans="1:11" ht="15.75" customHeight="1">
      <c r="A15" s="3"/>
      <c r="B15" s="5"/>
      <c r="C15" s="62"/>
      <c r="D15" s="224"/>
      <c r="E15" s="225"/>
      <c r="F15" s="225"/>
      <c r="G15" s="226"/>
      <c r="H15" s="3"/>
      <c r="I15" s="2"/>
      <c r="J15" s="3"/>
      <c r="K15" s="10"/>
    </row>
    <row r="16" spans="1:11" ht="15.75" customHeight="1">
      <c r="A16" s="3"/>
      <c r="B16" s="5"/>
      <c r="C16" s="62"/>
      <c r="D16" s="350"/>
      <c r="E16" s="429" t="s">
        <v>37</v>
      </c>
      <c r="F16" s="429"/>
      <c r="G16" s="351"/>
      <c r="H16" s="3"/>
      <c r="I16" s="2"/>
      <c r="J16" s="3"/>
      <c r="K16" s="10"/>
    </row>
    <row r="17" spans="1:11" ht="15.75" customHeight="1">
      <c r="D17" s="408" t="s">
        <v>460</v>
      </c>
      <c r="E17" s="409"/>
      <c r="F17" s="409"/>
      <c r="G17" s="409"/>
      <c r="H17" s="4"/>
      <c r="I17" s="4"/>
    </row>
    <row r="18" spans="1:11" ht="15" customHeight="1">
      <c r="D18" s="408"/>
      <c r="E18" s="409"/>
      <c r="F18" s="409"/>
      <c r="G18" s="409"/>
      <c r="H18" s="4"/>
      <c r="I18" s="4"/>
    </row>
    <row r="19" spans="1:11" ht="15" customHeight="1">
      <c r="D19" s="37"/>
      <c r="E19" s="32" t="s">
        <v>17</v>
      </c>
      <c r="F19" s="35" t="s">
        <v>241</v>
      </c>
      <c r="G19" s="34"/>
      <c r="H19" s="4"/>
      <c r="I19" s="4"/>
    </row>
    <row r="20" spans="1:11" ht="15" customHeight="1">
      <c r="D20" s="38"/>
      <c r="E20" s="33">
        <v>150</v>
      </c>
      <c r="F20" s="34">
        <f>SUM(C5*(E20/1000))</f>
        <v>0.19899750000000002</v>
      </c>
      <c r="G20" s="34"/>
      <c r="H20" s="4"/>
      <c r="I20" s="4"/>
    </row>
    <row r="21" spans="1:11">
      <c r="D21" s="39">
        <f>'Labour Analysis'!E24*1</f>
        <v>32</v>
      </c>
      <c r="E21" s="34">
        <v>0</v>
      </c>
      <c r="F21" s="34">
        <f>'Material Analysis'!I5</f>
        <v>75.599999999999994</v>
      </c>
      <c r="G21" s="34">
        <v>0</v>
      </c>
      <c r="H21" s="27">
        <f>F20</f>
        <v>0.19899750000000002</v>
      </c>
      <c r="I21" s="30" t="s">
        <v>340</v>
      </c>
      <c r="J21" s="41">
        <f>SUM(D21:G21)</f>
        <v>107.6</v>
      </c>
      <c r="K21" s="42">
        <f>SUM(H21*J21)</f>
        <v>21.412131000000002</v>
      </c>
    </row>
    <row r="22" spans="1:11" ht="15" customHeight="1"/>
    <row r="23" spans="1:11" ht="15.75" customHeight="1">
      <c r="E23" s="420" t="s">
        <v>37</v>
      </c>
      <c r="F23" s="420"/>
    </row>
    <row r="24" spans="1:11" ht="15.75" customHeight="1">
      <c r="D24" s="448" t="s">
        <v>863</v>
      </c>
      <c r="E24" s="449"/>
      <c r="F24" s="449"/>
      <c r="G24" s="450"/>
    </row>
    <row r="25" spans="1:11" ht="15" customHeight="1">
      <c r="D25" s="37"/>
      <c r="E25" s="32" t="s">
        <v>17</v>
      </c>
      <c r="F25" s="35" t="s">
        <v>241</v>
      </c>
      <c r="G25" s="34"/>
    </row>
    <row r="26" spans="1:11">
      <c r="D26" s="38"/>
      <c r="E26" s="33">
        <v>150</v>
      </c>
      <c r="F26" s="34">
        <f>SUM(C5*(E26/1000))</f>
        <v>0.19899750000000002</v>
      </c>
      <c r="G26" s="34"/>
    </row>
    <row r="27" spans="1:11" ht="17.25">
      <c r="D27" s="39">
        <f>'Labour Analysis'!$E$24*0.5</f>
        <v>16</v>
      </c>
      <c r="E27" s="31">
        <v>0</v>
      </c>
      <c r="F27" s="31">
        <f ca="1">'Material Analysis'!I7</f>
        <v>84</v>
      </c>
      <c r="G27" s="31">
        <v>0</v>
      </c>
      <c r="H27" s="27">
        <f>$F26</f>
        <v>0.19899750000000002</v>
      </c>
      <c r="I27" s="50" t="s">
        <v>19</v>
      </c>
      <c r="J27" s="59">
        <f ca="1">SUM(D27:G27)</f>
        <v>100</v>
      </c>
      <c r="K27" s="49">
        <f ca="1">J27*H27</f>
        <v>19.899750000000001</v>
      </c>
    </row>
    <row r="28" spans="1:11" ht="15" customHeight="1"/>
    <row r="29" spans="1:11" ht="15" customHeight="1"/>
    <row r="30" spans="1:11" ht="15" customHeight="1">
      <c r="D30" s="448" t="s">
        <v>920</v>
      </c>
      <c r="E30" s="449"/>
      <c r="F30" s="449"/>
      <c r="G30" s="450"/>
    </row>
    <row r="31" spans="1:11" ht="15.75" thickBot="1">
      <c r="A31" s="3"/>
      <c r="B31" s="3"/>
      <c r="C31" s="184"/>
      <c r="D31" s="454"/>
      <c r="E31" s="455"/>
      <c r="F31" s="455"/>
      <c r="G31" s="456"/>
      <c r="H31" s="2"/>
      <c r="I31" s="2"/>
      <c r="J31" s="2"/>
      <c r="K31" s="10"/>
    </row>
    <row r="32" spans="1:11" ht="15.75" customHeight="1" thickBot="1">
      <c r="A32" s="25">
        <v>1</v>
      </c>
      <c r="B32" s="41">
        <v>1</v>
      </c>
      <c r="C32" s="43">
        <f>A32*B32</f>
        <v>1</v>
      </c>
      <c r="D32" s="39">
        <f>'Labour Analysis'!$E$24*2</f>
        <v>64</v>
      </c>
      <c r="E32" s="34">
        <f>'Plant Analysis'!E18</f>
        <v>25</v>
      </c>
      <c r="F32" s="34">
        <f>'Material Analysis'!I103</f>
        <v>1800</v>
      </c>
      <c r="G32" s="34">
        <v>0</v>
      </c>
      <c r="H32" s="27">
        <f>$C32</f>
        <v>1</v>
      </c>
      <c r="I32" s="50" t="s">
        <v>44</v>
      </c>
      <c r="J32" s="59">
        <f>SUM(D32:G32)</f>
        <v>1889</v>
      </c>
      <c r="K32" s="49">
        <f>J32*H32</f>
        <v>1889</v>
      </c>
    </row>
    <row r="33" spans="1:11" ht="15" customHeight="1"/>
    <row r="35" spans="1:11" ht="15" customHeight="1">
      <c r="A35" s="25">
        <v>1</v>
      </c>
      <c r="B35" s="113">
        <v>3.14</v>
      </c>
      <c r="C35" s="500">
        <f>SUM(A35*(B35*(B36*B37)))</f>
        <v>1.3266500000000001</v>
      </c>
      <c r="D35" s="448" t="s">
        <v>219</v>
      </c>
      <c r="E35" s="449"/>
      <c r="F35" s="449"/>
      <c r="G35" s="450"/>
    </row>
    <row r="36" spans="1:11">
      <c r="B36" s="4">
        <v>0.65</v>
      </c>
      <c r="C36" s="501"/>
      <c r="D36" s="451"/>
      <c r="E36" s="452"/>
      <c r="F36" s="452"/>
      <c r="G36" s="453"/>
    </row>
    <row r="37" spans="1:11" ht="15.75" thickBot="1">
      <c r="B37" s="114">
        <v>0.65</v>
      </c>
      <c r="C37" s="501"/>
      <c r="D37" s="181"/>
      <c r="E37" s="98" t="s">
        <v>17</v>
      </c>
      <c r="F37" s="99" t="s">
        <v>18</v>
      </c>
      <c r="G37" s="182"/>
    </row>
    <row r="38" spans="1:11" ht="15.75" thickBot="1">
      <c r="B38" s="114" t="s">
        <v>38</v>
      </c>
      <c r="C38" s="121">
        <f ca="1">SUM(C35:(OFFSET(C38,-1,0)))</f>
        <v>1.3266500000000001</v>
      </c>
      <c r="D38" s="39"/>
      <c r="E38" s="34">
        <v>1800</v>
      </c>
      <c r="F38" s="34">
        <f ca="1">SUM($C43*(E38/1000))</f>
        <v>0.97497000000000011</v>
      </c>
      <c r="G38" s="34"/>
    </row>
    <row r="39" spans="1:11" ht="17.25">
      <c r="A39" s="25">
        <v>1</v>
      </c>
      <c r="B39" s="113">
        <v>3.14</v>
      </c>
      <c r="C39" s="502">
        <f>SUM(A39*(B39*(B40*B41)))</f>
        <v>0.78500000000000003</v>
      </c>
      <c r="D39" s="39">
        <f>'Labour Analysis'!$E$24*0.5</f>
        <v>16</v>
      </c>
      <c r="E39" s="31">
        <v>0</v>
      </c>
      <c r="F39" s="31">
        <f ca="1">'Material Analysis'!I7</f>
        <v>84</v>
      </c>
      <c r="G39" s="31">
        <v>0</v>
      </c>
      <c r="H39" s="27">
        <f ca="1">$F38</f>
        <v>0.97497000000000011</v>
      </c>
      <c r="I39" s="50" t="s">
        <v>19</v>
      </c>
      <c r="J39" s="59">
        <f ca="1">SUM(D39:G39)</f>
        <v>100</v>
      </c>
      <c r="K39" s="49">
        <f ca="1">J39*H39</f>
        <v>97.497000000000014</v>
      </c>
    </row>
    <row r="40" spans="1:11" ht="15" customHeight="1">
      <c r="B40" s="4">
        <v>0.5</v>
      </c>
      <c r="C40" s="501"/>
      <c r="D40" s="8"/>
      <c r="E40" s="189"/>
      <c r="F40" s="189"/>
      <c r="G40" s="189"/>
    </row>
    <row r="41" spans="1:11" ht="15" customHeight="1">
      <c r="B41" s="114">
        <v>0.5</v>
      </c>
      <c r="C41" s="501"/>
      <c r="D41" s="8"/>
      <c r="E41" s="189"/>
      <c r="F41" s="189"/>
      <c r="G41" s="189"/>
    </row>
    <row r="42" spans="1:11" ht="15.75" thickBot="1">
      <c r="B42" s="29"/>
      <c r="C42" s="283">
        <f ca="1">SUM(C39:(OFFSET(C42,-1,0)))</f>
        <v>0.78500000000000003</v>
      </c>
    </row>
    <row r="43" spans="1:11" ht="15.75" thickBot="1">
      <c r="C43" s="101">
        <f ca="1">C38-C42</f>
        <v>0.54165000000000008</v>
      </c>
    </row>
    <row r="44" spans="1:11" ht="15" customHeight="1"/>
    <row r="45" spans="1:11" ht="15" customHeight="1">
      <c r="B45" s="29"/>
      <c r="C45" s="104"/>
    </row>
    <row r="46" spans="1:11">
      <c r="A46" s="41">
        <v>1</v>
      </c>
      <c r="B46" s="41">
        <v>3.14</v>
      </c>
      <c r="C46" s="447">
        <f>A46*(B46*B47)</f>
        <v>1.3188</v>
      </c>
      <c r="D46" s="448" t="s">
        <v>223</v>
      </c>
      <c r="E46" s="449"/>
      <c r="F46" s="449"/>
      <c r="G46" s="450"/>
    </row>
    <row r="47" spans="1:11" ht="15.75" thickBot="1">
      <c r="A47" s="41"/>
      <c r="B47" s="41">
        <v>0.42</v>
      </c>
      <c r="C47" s="447"/>
      <c r="D47" s="39">
        <f>'Labour Analysis'!$E$24*0.5</f>
        <v>16</v>
      </c>
      <c r="E47" s="34">
        <f>'Plant Analysis'!E18*1.5</f>
        <v>37.5</v>
      </c>
      <c r="F47" s="31">
        <v>0</v>
      </c>
      <c r="G47" s="31">
        <v>0</v>
      </c>
      <c r="H47" s="27">
        <f ca="1">C48</f>
        <v>1.3188</v>
      </c>
      <c r="I47" s="50" t="s">
        <v>213</v>
      </c>
      <c r="J47" s="59">
        <f>SUM(D47:G47)</f>
        <v>53.5</v>
      </c>
      <c r="K47" s="49">
        <f ca="1">J47*H47</f>
        <v>70.555800000000005</v>
      </c>
    </row>
    <row r="48" spans="1:11" ht="15" customHeight="1" thickBot="1">
      <c r="B48" s="29"/>
      <c r="C48" s="121">
        <f ca="1">SUM(C46:(OFFSET(C48,-1,0)))</f>
        <v>1.3188</v>
      </c>
      <c r="E48" s="346"/>
      <c r="F48" s="346"/>
      <c r="G48" s="346"/>
    </row>
    <row r="49" spans="2:11">
      <c r="E49" s="346"/>
      <c r="F49" s="346"/>
      <c r="G49" s="346"/>
    </row>
    <row r="50" spans="2:11" ht="15" customHeight="1">
      <c r="B50" s="29"/>
      <c r="C50" s="75"/>
      <c r="E50" s="346"/>
      <c r="F50" s="346"/>
      <c r="G50" s="346"/>
    </row>
    <row r="51" spans="2:11">
      <c r="B51" s="29"/>
      <c r="C51" s="75"/>
      <c r="E51" s="346"/>
      <c r="F51" s="346"/>
      <c r="G51" s="346"/>
    </row>
    <row r="52" spans="2:11">
      <c r="B52" s="29"/>
      <c r="C52" s="75"/>
      <c r="E52" s="346"/>
      <c r="F52" s="346"/>
      <c r="G52" s="346"/>
    </row>
    <row r="53" spans="2:11">
      <c r="B53" s="29"/>
      <c r="C53" s="75"/>
      <c r="E53" s="346"/>
      <c r="F53" s="346"/>
      <c r="G53" s="346"/>
    </row>
    <row r="54" spans="2:11">
      <c r="B54" s="29"/>
      <c r="C54" s="75"/>
      <c r="E54" s="346"/>
      <c r="F54" s="346"/>
      <c r="G54" s="346"/>
    </row>
    <row r="55" spans="2:11">
      <c r="B55" s="29"/>
      <c r="C55" s="75"/>
      <c r="E55" s="346"/>
      <c r="F55" s="346"/>
      <c r="G55" s="346"/>
    </row>
    <row r="56" spans="2:11">
      <c r="B56" s="29"/>
      <c r="C56" s="75"/>
      <c r="E56" s="346"/>
      <c r="F56" s="346"/>
      <c r="G56" s="346"/>
    </row>
    <row r="57" spans="2:11">
      <c r="B57" s="29"/>
      <c r="C57" s="75"/>
    </row>
    <row r="60" spans="2:11" ht="15.75" thickBot="1"/>
    <row r="61" spans="2:11" ht="17.25" thickTop="1" thickBot="1">
      <c r="B61" s="405" t="s">
        <v>36</v>
      </c>
      <c r="C61" s="406"/>
      <c r="D61" s="72">
        <f ca="1">SUMPRODUCT(D4:D60,$H4:$H60)</f>
        <v>121.79405500000001</v>
      </c>
      <c r="E61" s="72">
        <f ca="1">SUMPRODUCT(E4:E60,$H4:$H60)</f>
        <v>151.66603000000001</v>
      </c>
      <c r="F61" s="72">
        <f ca="1">SUMPRODUCT(F4:F60,$H4:$H60)</f>
        <v>1913.6574810000002</v>
      </c>
      <c r="G61" s="72">
        <f ca="1">SUMPRODUCT(G4:G60,$H4:$H60)</f>
        <v>0</v>
      </c>
      <c r="H61" s="57">
        <f ca="1">SUM(D61:G61)</f>
        <v>2187.1175660000004</v>
      </c>
      <c r="I61" s="54"/>
      <c r="J61" s="199"/>
      <c r="K61" s="56">
        <f ca="1">SUM(K4:K60)</f>
        <v>2187.1175659999999</v>
      </c>
    </row>
    <row r="62" spans="2:11">
      <c r="B62" s="29"/>
      <c r="C62" s="14"/>
      <c r="G62" s="17"/>
      <c r="H62" s="4"/>
      <c r="I62" s="4"/>
      <c r="K62" s="58" t="str">
        <f ca="1">IF((H61+J61)=K61,"Correct")</f>
        <v>Correct</v>
      </c>
    </row>
    <row r="122" spans="2:11" s="29" customFormat="1" ht="15" customHeight="1">
      <c r="B122" s="13"/>
      <c r="C122" s="45"/>
      <c r="D122" s="9"/>
      <c r="E122" s="188"/>
      <c r="F122" s="188"/>
      <c r="G122" s="188"/>
      <c r="H122" s="51"/>
      <c r="I122" s="51"/>
      <c r="J122" s="4"/>
      <c r="K122" s="11"/>
    </row>
  </sheetData>
  <sheetProtection sheet="1" objects="1" scenarios="1" selectLockedCells="1" selectUnlockedCells="1"/>
  <mergeCells count="22">
    <mergeCell ref="K2:K3"/>
    <mergeCell ref="A2:A3"/>
    <mergeCell ref="B2:C3"/>
    <mergeCell ref="D2:G2"/>
    <mergeCell ref="H2:H3"/>
    <mergeCell ref="I2:I3"/>
    <mergeCell ref="J2:J3"/>
    <mergeCell ref="D5:G5"/>
    <mergeCell ref="E10:F10"/>
    <mergeCell ref="D11:G11"/>
    <mergeCell ref="E16:F16"/>
    <mergeCell ref="B61:C61"/>
    <mergeCell ref="C5:C7"/>
    <mergeCell ref="E23:F23"/>
    <mergeCell ref="D30:G31"/>
    <mergeCell ref="C35:C37"/>
    <mergeCell ref="D35:G36"/>
    <mergeCell ref="C39:C41"/>
    <mergeCell ref="D17:G18"/>
    <mergeCell ref="D24:G24"/>
    <mergeCell ref="C46:C47"/>
    <mergeCell ref="D46:G46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 Ltd&amp;C&amp;P of &amp;N&amp;R&amp;A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50"/>
  <dimension ref="A1:K122"/>
  <sheetViews>
    <sheetView view="pageLayout" topLeftCell="A43" workbookViewId="0">
      <selection activeCell="C55" sqref="C55"/>
    </sheetView>
  </sheetViews>
  <sheetFormatPr defaultRowHeight="15"/>
  <cols>
    <col min="1" max="1" width="10.5703125" style="29" customWidth="1"/>
    <col min="2" max="2" width="10.5703125" style="13" customWidth="1"/>
    <col min="3" max="3" width="10.5703125" style="45" customWidth="1"/>
    <col min="4" max="4" width="9.42578125" style="9" bestFit="1" customWidth="1"/>
    <col min="5" max="5" width="9.28515625" style="188" customWidth="1"/>
    <col min="6" max="6" width="9.5703125" style="188" bestFit="1" customWidth="1"/>
    <col min="7" max="7" width="9.28515625" style="188" customWidth="1"/>
    <col min="8" max="8" width="10.5703125" style="51" customWidth="1"/>
    <col min="9" max="9" width="5.140625" style="51" customWidth="1"/>
    <col min="10" max="10" width="10.5703125" style="4" customWidth="1"/>
    <col min="11" max="11" width="12" style="11" bestFit="1" customWidth="1"/>
  </cols>
  <sheetData>
    <row r="1" spans="1:11">
      <c r="A1" s="111" t="s">
        <v>232</v>
      </c>
      <c r="B1" s="60"/>
      <c r="C1" s="112"/>
      <c r="D1" s="185"/>
      <c r="E1" s="185"/>
      <c r="F1" s="185"/>
      <c r="G1" s="185"/>
      <c r="H1" s="106"/>
      <c r="I1" s="106"/>
      <c r="J1" s="106"/>
      <c r="K1" s="61"/>
    </row>
    <row r="2" spans="1:11" s="1" customFormat="1">
      <c r="A2" s="421" t="s">
        <v>0</v>
      </c>
      <c r="B2" s="421" t="s">
        <v>1</v>
      </c>
      <c r="C2" s="433"/>
      <c r="D2" s="432" t="s">
        <v>2</v>
      </c>
      <c r="E2" s="425"/>
      <c r="F2" s="425"/>
      <c r="G2" s="433"/>
      <c r="H2" s="423" t="s">
        <v>6</v>
      </c>
      <c r="I2" s="423" t="s">
        <v>7</v>
      </c>
      <c r="J2" s="430" t="s">
        <v>8</v>
      </c>
      <c r="K2" s="434" t="s">
        <v>9</v>
      </c>
    </row>
    <row r="3" spans="1:11" s="6" customFormat="1">
      <c r="A3" s="422"/>
      <c r="B3" s="422"/>
      <c r="C3" s="461"/>
      <c r="D3" s="7" t="s">
        <v>3</v>
      </c>
      <c r="E3" s="186" t="s">
        <v>4</v>
      </c>
      <c r="F3" s="186" t="s">
        <v>5</v>
      </c>
      <c r="G3" s="186" t="s">
        <v>45</v>
      </c>
      <c r="H3" s="424"/>
      <c r="I3" s="424"/>
      <c r="J3" s="431"/>
      <c r="K3" s="435"/>
    </row>
    <row r="5" spans="1:11" ht="15" customHeight="1">
      <c r="A5" s="41">
        <v>1</v>
      </c>
      <c r="B5" s="41">
        <v>3</v>
      </c>
      <c r="C5" s="447">
        <f>A5*(B5*B6)</f>
        <v>3</v>
      </c>
      <c r="D5" s="448" t="s">
        <v>933</v>
      </c>
      <c r="E5" s="449"/>
      <c r="F5" s="449"/>
      <c r="G5" s="450"/>
    </row>
    <row r="6" spans="1:11" ht="15.75" thickBot="1">
      <c r="A6" s="41"/>
      <c r="B6" s="41">
        <v>1</v>
      </c>
      <c r="C6" s="447"/>
      <c r="D6" s="181"/>
      <c r="E6" s="98" t="s">
        <v>17</v>
      </c>
      <c r="F6" s="99" t="s">
        <v>18</v>
      </c>
      <c r="G6" s="182"/>
    </row>
    <row r="7" spans="1:11" ht="15.75" thickBot="1">
      <c r="B7" s="29"/>
      <c r="C7" s="121">
        <f ca="1">SUM(C5:(OFFSET(C7,-1,0)))</f>
        <v>3</v>
      </c>
      <c r="D7" s="39"/>
      <c r="E7" s="34">
        <v>750</v>
      </c>
      <c r="F7" s="34">
        <f ca="1">SUM(C7*(E7/1000))</f>
        <v>2.25</v>
      </c>
      <c r="G7" s="34"/>
    </row>
    <row r="8" spans="1:11" ht="15.75" customHeight="1">
      <c r="D8" s="36">
        <f ca="1">SUM(((H8/'Plant Analysis'!$B$20)*'Labour Analysis'!$E$22)/H8)</f>
        <v>4.833333333333333</v>
      </c>
      <c r="E8" s="31">
        <f ca="1">SUM(((H8/'Plant Analysis'!B20)*'Plant Analysis'!E18)/H8)</f>
        <v>8.3333333333333339</v>
      </c>
      <c r="F8" s="31">
        <v>0</v>
      </c>
      <c r="G8" s="31">
        <v>0</v>
      </c>
      <c r="H8" s="27">
        <f ca="1">$F7</f>
        <v>2.25</v>
      </c>
      <c r="I8" s="50" t="s">
        <v>19</v>
      </c>
      <c r="J8" s="59">
        <f ca="1">SUM(D8:G8)</f>
        <v>13.166666666666668</v>
      </c>
      <c r="K8" s="49">
        <f ca="1">J8*H8</f>
        <v>29.625000000000004</v>
      </c>
    </row>
    <row r="9" spans="1:11">
      <c r="E9" s="346"/>
      <c r="F9" s="346"/>
      <c r="G9" s="346"/>
    </row>
    <row r="10" spans="1:11">
      <c r="D10" s="8"/>
      <c r="E10" s="499" t="s">
        <v>37</v>
      </c>
      <c r="F10" s="499"/>
      <c r="G10" s="348"/>
      <c r="H10" s="70"/>
      <c r="I10" s="70"/>
      <c r="J10" s="2"/>
      <c r="K10" s="10"/>
    </row>
    <row r="11" spans="1:11">
      <c r="A11" s="3"/>
      <c r="B11" s="5"/>
      <c r="C11" s="62"/>
      <c r="D11" s="408" t="s">
        <v>20</v>
      </c>
      <c r="E11" s="409"/>
      <c r="F11" s="409"/>
      <c r="G11" s="409"/>
      <c r="H11" s="2"/>
      <c r="I11" s="2"/>
      <c r="J11" s="2"/>
      <c r="K11" s="10"/>
    </row>
    <row r="12" spans="1:11" ht="15.75" customHeight="1">
      <c r="A12" s="3"/>
      <c r="B12" s="5"/>
      <c r="C12" s="62"/>
      <c r="D12" s="342"/>
      <c r="E12" s="98" t="s">
        <v>17</v>
      </c>
      <c r="F12" s="99" t="s">
        <v>18</v>
      </c>
      <c r="G12" s="343"/>
      <c r="H12" s="2"/>
      <c r="I12" s="2"/>
      <c r="J12" s="2"/>
      <c r="K12" s="10"/>
    </row>
    <row r="13" spans="1:11">
      <c r="A13" s="3"/>
      <c r="B13" s="5"/>
      <c r="C13" s="62"/>
      <c r="D13" s="39"/>
      <c r="E13" s="34">
        <f>E7</f>
        <v>750</v>
      </c>
      <c r="F13" s="34">
        <f ca="1">SUM($C7*(E13/1000))</f>
        <v>2.25</v>
      </c>
      <c r="G13" s="34"/>
      <c r="H13" s="2"/>
      <c r="I13" s="2"/>
      <c r="J13" s="2"/>
      <c r="K13" s="10"/>
    </row>
    <row r="14" spans="1:11" ht="17.25">
      <c r="A14" s="3"/>
      <c r="B14" s="5"/>
      <c r="C14" s="62"/>
      <c r="D14" s="36">
        <v>0</v>
      </c>
      <c r="E14" s="31">
        <f ca="1">SUM((((H14*1.6)/'Plant Analysis'!$B$33)*'Plant Analysis'!$B$32)/H14)</f>
        <v>24</v>
      </c>
      <c r="F14" s="31">
        <v>0</v>
      </c>
      <c r="G14" s="31">
        <v>0</v>
      </c>
      <c r="H14" s="25">
        <f ca="1">F13</f>
        <v>2.25</v>
      </c>
      <c r="I14" s="30" t="s">
        <v>19</v>
      </c>
      <c r="J14" s="41">
        <f ca="1">SUM(D14:G14)</f>
        <v>24</v>
      </c>
      <c r="K14" s="42">
        <f ca="1">SUM(H14*J14)</f>
        <v>54</v>
      </c>
    </row>
    <row r="16" spans="1:11" ht="15.75" customHeight="1">
      <c r="E16" s="420" t="s">
        <v>37</v>
      </c>
      <c r="F16" s="420"/>
    </row>
    <row r="17" spans="1:11" ht="15" customHeight="1">
      <c r="D17" s="408" t="s">
        <v>460</v>
      </c>
      <c r="E17" s="409"/>
      <c r="F17" s="409"/>
      <c r="G17" s="409"/>
      <c r="H17" s="4"/>
      <c r="I17" s="4"/>
    </row>
    <row r="18" spans="1:11">
      <c r="D18" s="408"/>
      <c r="E18" s="409"/>
      <c r="F18" s="409"/>
      <c r="G18" s="409"/>
      <c r="H18" s="4"/>
      <c r="I18" s="4"/>
    </row>
    <row r="19" spans="1:11" ht="15" customHeight="1">
      <c r="D19" s="37"/>
      <c r="E19" s="32" t="s">
        <v>17</v>
      </c>
      <c r="F19" s="35" t="s">
        <v>241</v>
      </c>
      <c r="G19" s="34"/>
      <c r="H19" s="4"/>
      <c r="I19" s="4"/>
    </row>
    <row r="20" spans="1:11" ht="15" customHeight="1">
      <c r="D20" s="38"/>
      <c r="E20" s="33">
        <v>150</v>
      </c>
      <c r="F20" s="34">
        <f ca="1">SUM(C7*(E20/1000))</f>
        <v>0.44999999999999996</v>
      </c>
      <c r="G20" s="34"/>
      <c r="H20" s="4"/>
      <c r="I20" s="4"/>
    </row>
    <row r="21" spans="1:11" ht="15.75" customHeight="1">
      <c r="D21" s="39">
        <f>'Labour Analysis'!E24*1</f>
        <v>32</v>
      </c>
      <c r="E21" s="34">
        <v>0</v>
      </c>
      <c r="F21" s="34">
        <f>'Material Analysis'!I5</f>
        <v>75.599999999999994</v>
      </c>
      <c r="G21" s="34">
        <v>0</v>
      </c>
      <c r="H21" s="27">
        <f ca="1">F20</f>
        <v>0.44999999999999996</v>
      </c>
      <c r="I21" s="30" t="s">
        <v>340</v>
      </c>
      <c r="J21" s="41">
        <f>SUM(D21:G21)</f>
        <v>107.6</v>
      </c>
      <c r="K21" s="42">
        <f ca="1">SUM(H21*J21)</f>
        <v>48.419999999999995</v>
      </c>
    </row>
    <row r="22" spans="1:11" ht="15" customHeight="1"/>
    <row r="23" spans="1:11" ht="15" customHeight="1">
      <c r="E23" s="420" t="s">
        <v>37</v>
      </c>
      <c r="F23" s="420"/>
    </row>
    <row r="24" spans="1:11">
      <c r="D24" s="448" t="s">
        <v>864</v>
      </c>
      <c r="E24" s="449"/>
      <c r="F24" s="449"/>
      <c r="G24" s="450"/>
    </row>
    <row r="25" spans="1:11" ht="15" customHeight="1">
      <c r="D25" s="37"/>
      <c r="E25" s="32" t="s">
        <v>17</v>
      </c>
      <c r="F25" s="35" t="s">
        <v>241</v>
      </c>
      <c r="G25" s="34"/>
    </row>
    <row r="26" spans="1:11" ht="15.75" customHeight="1">
      <c r="D26" s="38"/>
      <c r="E26" s="33">
        <v>50</v>
      </c>
      <c r="F26" s="34">
        <f>SUM(C5*(E26/1000))</f>
        <v>0.15000000000000002</v>
      </c>
      <c r="G26" s="34"/>
    </row>
    <row r="27" spans="1:11" ht="15.75" customHeight="1">
      <c r="D27" s="39">
        <f>'Labour Analysis'!$E$24*0.0782</f>
        <v>2.5024000000000002</v>
      </c>
      <c r="E27" s="31">
        <v>0</v>
      </c>
      <c r="F27" s="31">
        <f>'Material Analysis'!I9</f>
        <v>31.5</v>
      </c>
      <c r="G27" s="31">
        <v>0</v>
      </c>
      <c r="H27" s="27">
        <f>F26</f>
        <v>0.15000000000000002</v>
      </c>
      <c r="I27" s="50" t="s">
        <v>340</v>
      </c>
      <c r="J27" s="59">
        <f>SUM(D27:G27)</f>
        <v>34.002400000000002</v>
      </c>
      <c r="K27" s="49">
        <f>J27*H27</f>
        <v>5.1003600000000011</v>
      </c>
    </row>
    <row r="28" spans="1:11" ht="15" customHeight="1"/>
    <row r="30" spans="1:11">
      <c r="D30" s="448" t="s">
        <v>220</v>
      </c>
      <c r="E30" s="449"/>
      <c r="F30" s="449"/>
      <c r="G30" s="450"/>
    </row>
    <row r="31" spans="1:11" ht="15" customHeight="1" thickBot="1">
      <c r="A31" s="3"/>
      <c r="B31" s="3"/>
      <c r="C31" s="184"/>
      <c r="D31" s="454"/>
      <c r="E31" s="455"/>
      <c r="F31" s="455"/>
      <c r="G31" s="456"/>
      <c r="H31" s="2"/>
      <c r="I31" s="2"/>
      <c r="J31" s="2"/>
      <c r="K31" s="10"/>
    </row>
    <row r="32" spans="1:11" ht="15" customHeight="1" thickBot="1">
      <c r="A32" s="25">
        <v>6</v>
      </c>
      <c r="B32" s="41">
        <v>1</v>
      </c>
      <c r="C32" s="43">
        <f>A32*B32</f>
        <v>6</v>
      </c>
      <c r="D32" s="39">
        <f>'Labour Analysis'!$E$24*0.1564</f>
        <v>5.0048000000000004</v>
      </c>
      <c r="E32" s="34">
        <v>0</v>
      </c>
      <c r="F32" s="34">
        <f>'Material Analysis'!I102</f>
        <v>35</v>
      </c>
      <c r="G32" s="34">
        <v>0</v>
      </c>
      <c r="H32" s="27">
        <f>$C32</f>
        <v>6</v>
      </c>
      <c r="I32" s="50" t="s">
        <v>44</v>
      </c>
      <c r="J32" s="59">
        <f>SUM(D32:G32)</f>
        <v>40.004800000000003</v>
      </c>
      <c r="K32" s="49">
        <f>J32*H32</f>
        <v>240.02880000000002</v>
      </c>
    </row>
    <row r="33" spans="1:11" ht="15" customHeight="1"/>
    <row r="35" spans="1:11" ht="15.75" customHeight="1">
      <c r="A35" s="41">
        <v>2</v>
      </c>
      <c r="B35" s="41">
        <v>3</v>
      </c>
      <c r="C35" s="447">
        <f>A35*(B35*B36)</f>
        <v>6</v>
      </c>
      <c r="D35" s="448" t="s">
        <v>221</v>
      </c>
      <c r="E35" s="449"/>
      <c r="F35" s="449"/>
      <c r="G35" s="450"/>
    </row>
    <row r="36" spans="1:11" ht="15" customHeight="1">
      <c r="A36" s="41"/>
      <c r="B36" s="41">
        <v>1</v>
      </c>
      <c r="C36" s="447"/>
      <c r="D36" s="451"/>
      <c r="E36" s="452"/>
      <c r="F36" s="452"/>
      <c r="G36" s="453"/>
    </row>
    <row r="37" spans="1:11">
      <c r="A37" s="41">
        <v>2</v>
      </c>
      <c r="B37" s="41">
        <v>3</v>
      </c>
      <c r="C37" s="447">
        <f>A37*(B37*B38)</f>
        <v>2.4000000000000004</v>
      </c>
      <c r="D37" s="39">
        <f>'Labour Analysis'!$E$24*0.0782</f>
        <v>2.5024000000000002</v>
      </c>
      <c r="E37" s="31">
        <v>0</v>
      </c>
      <c r="F37" s="31">
        <f>'Material Analysis'!I112</f>
        <v>2.7</v>
      </c>
      <c r="G37" s="31">
        <v>0</v>
      </c>
      <c r="H37" s="27">
        <f ca="1">C41</f>
        <v>9.2000000000000011</v>
      </c>
      <c r="I37" s="50" t="s">
        <v>213</v>
      </c>
      <c r="J37" s="59">
        <f>SUM(D37:G37)</f>
        <v>5.2024000000000008</v>
      </c>
      <c r="K37" s="49">
        <f ca="1">J37*H37</f>
        <v>47.862080000000013</v>
      </c>
    </row>
    <row r="38" spans="1:11" ht="15" customHeight="1">
      <c r="A38" s="41"/>
      <c r="B38" s="41">
        <v>0.4</v>
      </c>
      <c r="C38" s="447"/>
    </row>
    <row r="39" spans="1:11" ht="15" customHeight="1">
      <c r="A39" s="41">
        <v>2</v>
      </c>
      <c r="B39" s="41">
        <v>1</v>
      </c>
      <c r="C39" s="447">
        <f>A39*(B39*B40)</f>
        <v>0.8</v>
      </c>
      <c r="E39" s="346"/>
      <c r="F39" s="346"/>
      <c r="G39" s="346"/>
    </row>
    <row r="40" spans="1:11" ht="15" customHeight="1" thickBot="1">
      <c r="A40" s="41"/>
      <c r="B40" s="41">
        <v>0.4</v>
      </c>
      <c r="C40" s="447"/>
      <c r="E40" s="346"/>
      <c r="F40" s="346"/>
      <c r="G40" s="346"/>
    </row>
    <row r="41" spans="1:11" ht="15.75" thickBot="1">
      <c r="B41" s="29"/>
      <c r="C41" s="121">
        <f ca="1">SUM(C35:(OFFSET(C41,-1,0)))</f>
        <v>9.2000000000000011</v>
      </c>
    </row>
    <row r="43" spans="1:11" ht="15" customHeight="1"/>
    <row r="44" spans="1:11" ht="15" customHeight="1">
      <c r="A44" s="41">
        <v>1</v>
      </c>
      <c r="B44" s="41">
        <v>3</v>
      </c>
      <c r="C44" s="447">
        <f>A44*(B44*B45)</f>
        <v>3</v>
      </c>
      <c r="D44" s="448" t="s">
        <v>222</v>
      </c>
      <c r="E44" s="449"/>
      <c r="F44" s="449"/>
      <c r="G44" s="450"/>
    </row>
    <row r="45" spans="1:11" ht="15.75" thickBot="1">
      <c r="A45" s="41"/>
      <c r="B45" s="41">
        <v>1</v>
      </c>
      <c r="C45" s="447"/>
      <c r="D45" s="451"/>
      <c r="E45" s="452"/>
      <c r="F45" s="452"/>
      <c r="G45" s="453"/>
    </row>
    <row r="46" spans="1:11" ht="15.75" thickBot="1">
      <c r="B46" s="29"/>
      <c r="C46" s="121">
        <f ca="1">SUM(C44:(OFFSET(C46,-1,0)))</f>
        <v>3</v>
      </c>
      <c r="D46" s="39">
        <f>'Labour Analysis'!$E$24*0.5</f>
        <v>16</v>
      </c>
      <c r="E46" s="34">
        <f>'Plant Analysis'!E18*1.5</f>
        <v>37.5</v>
      </c>
      <c r="F46" s="31">
        <v>0</v>
      </c>
      <c r="G46" s="31">
        <v>0</v>
      </c>
      <c r="H46" s="27">
        <f>C37</f>
        <v>2.4000000000000004</v>
      </c>
      <c r="I46" s="50" t="s">
        <v>213</v>
      </c>
      <c r="J46" s="59">
        <f>SUM(D46:G46)</f>
        <v>53.5</v>
      </c>
      <c r="K46" s="49">
        <f>J46*H46</f>
        <v>128.4</v>
      </c>
    </row>
    <row r="47" spans="1:11" ht="15" customHeight="1"/>
    <row r="48" spans="1:11" ht="15" customHeight="1"/>
    <row r="51" spans="2:11" ht="15" customHeight="1"/>
    <row r="52" spans="2:11">
      <c r="E52" s="346"/>
      <c r="F52" s="346"/>
      <c r="G52" s="346"/>
    </row>
    <row r="53" spans="2:11" ht="15" customHeight="1">
      <c r="E53" s="346"/>
      <c r="F53" s="346"/>
      <c r="G53" s="346"/>
    </row>
    <row r="54" spans="2:11">
      <c r="E54" s="346"/>
      <c r="F54" s="346"/>
      <c r="G54" s="346"/>
    </row>
    <row r="55" spans="2:11">
      <c r="E55" s="346"/>
      <c r="F55" s="346"/>
      <c r="G55" s="346"/>
    </row>
    <row r="56" spans="2:11">
      <c r="E56" s="346"/>
      <c r="F56" s="346"/>
      <c r="G56" s="346"/>
    </row>
    <row r="61" spans="2:11" ht="15.75" thickBot="1"/>
    <row r="62" spans="2:11" ht="17.25" thickTop="1" thickBot="1">
      <c r="B62" s="405" t="s">
        <v>36</v>
      </c>
      <c r="C62" s="406"/>
      <c r="D62" s="72">
        <f ca="1">SUMPRODUCT(D4:D61,$H4:$H61)</f>
        <v>117.10124000000002</v>
      </c>
      <c r="E62" s="72">
        <f ca="1">SUMPRODUCT(E4:E61,$H4:$H61)</f>
        <v>162.75</v>
      </c>
      <c r="F62" s="72">
        <f ca="1">SUMPRODUCT(F4:F61,$H4:$H61)</f>
        <v>273.58500000000004</v>
      </c>
      <c r="G62" s="72">
        <f ca="1">SUMPRODUCT(G4:G61,$H4:$H61)</f>
        <v>0</v>
      </c>
      <c r="H62" s="57">
        <f ca="1">SUM(D62:G62)</f>
        <v>553.43624</v>
      </c>
      <c r="I62" s="54"/>
      <c r="J62" s="199"/>
      <c r="K62" s="56">
        <f ca="1">SUM(K4:K61)</f>
        <v>553.43624</v>
      </c>
    </row>
    <row r="63" spans="2:11">
      <c r="B63" s="29"/>
      <c r="C63" s="14"/>
      <c r="G63" s="17"/>
      <c r="H63" s="4"/>
      <c r="I63" s="4"/>
      <c r="K63" s="58" t="str">
        <f ca="1">IF((H62+J62)=K62,"Correct")</f>
        <v>Correct</v>
      </c>
    </row>
    <row r="122" spans="2:11" s="29" customFormat="1" ht="15" customHeight="1">
      <c r="B122" s="13"/>
      <c r="C122" s="45"/>
      <c r="D122" s="9"/>
      <c r="E122" s="188"/>
      <c r="F122" s="188"/>
      <c r="G122" s="188"/>
      <c r="H122" s="51"/>
      <c r="I122" s="51"/>
      <c r="J122" s="4"/>
      <c r="K122" s="11"/>
    </row>
  </sheetData>
  <sheetProtection sheet="1" objects="1" scenarios="1" selectLockedCells="1" selectUnlockedCells="1"/>
  <mergeCells count="23">
    <mergeCell ref="K2:K3"/>
    <mergeCell ref="A2:A3"/>
    <mergeCell ref="B2:C3"/>
    <mergeCell ref="D2:G2"/>
    <mergeCell ref="H2:H3"/>
    <mergeCell ref="I2:I3"/>
    <mergeCell ref="J2:J3"/>
    <mergeCell ref="B62:C62"/>
    <mergeCell ref="C5:C6"/>
    <mergeCell ref="E16:F16"/>
    <mergeCell ref="E23:F23"/>
    <mergeCell ref="C35:C36"/>
    <mergeCell ref="C37:C38"/>
    <mergeCell ref="D30:G31"/>
    <mergeCell ref="D35:G36"/>
    <mergeCell ref="D17:G18"/>
    <mergeCell ref="D24:G24"/>
    <mergeCell ref="C39:C40"/>
    <mergeCell ref="E10:F10"/>
    <mergeCell ref="D11:G11"/>
    <mergeCell ref="D5:G5"/>
    <mergeCell ref="C44:C45"/>
    <mergeCell ref="D44:G45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 Ltd&amp;C&amp;P of &amp;N&amp;R&amp;A</oddFooter>
  </headerFooter>
  <drawing r:id="rId2"/>
  <legacyDrawingHF r:id="rId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51"/>
  <dimension ref="A1:K121"/>
  <sheetViews>
    <sheetView view="pageLayout" topLeftCell="A58" workbookViewId="0">
      <selection activeCell="F64" sqref="F64"/>
    </sheetView>
  </sheetViews>
  <sheetFormatPr defaultRowHeight="15"/>
  <cols>
    <col min="1" max="1" width="10.5703125" style="29" customWidth="1"/>
    <col min="2" max="2" width="10.5703125" style="13" customWidth="1"/>
    <col min="3" max="3" width="10.5703125" style="45" customWidth="1"/>
    <col min="4" max="4" width="9.42578125" style="9" bestFit="1" customWidth="1"/>
    <col min="5" max="5" width="9.28515625" style="188" customWidth="1"/>
    <col min="6" max="6" width="9.5703125" style="188" bestFit="1" customWidth="1"/>
    <col min="7" max="7" width="9.28515625" style="188" customWidth="1"/>
    <col min="8" max="8" width="10.5703125" style="51" customWidth="1"/>
    <col min="9" max="9" width="5.140625" style="51" customWidth="1"/>
    <col min="10" max="10" width="10.5703125" style="4" customWidth="1"/>
    <col min="11" max="11" width="12" style="11" bestFit="1" customWidth="1"/>
  </cols>
  <sheetData>
    <row r="1" spans="1:11">
      <c r="A1" s="111" t="s">
        <v>233</v>
      </c>
      <c r="B1" s="60"/>
      <c r="C1" s="112"/>
      <c r="D1" s="185"/>
      <c r="E1" s="185"/>
      <c r="F1" s="185"/>
      <c r="G1" s="185"/>
      <c r="H1" s="106"/>
      <c r="I1" s="106"/>
      <c r="J1" s="106"/>
      <c r="K1" s="61"/>
    </row>
    <row r="2" spans="1:11" s="1" customFormat="1">
      <c r="A2" s="421" t="s">
        <v>0</v>
      </c>
      <c r="B2" s="421" t="s">
        <v>1</v>
      </c>
      <c r="C2" s="433"/>
      <c r="D2" s="432" t="s">
        <v>2</v>
      </c>
      <c r="E2" s="425"/>
      <c r="F2" s="425"/>
      <c r="G2" s="433"/>
      <c r="H2" s="423" t="s">
        <v>6</v>
      </c>
      <c r="I2" s="423" t="s">
        <v>7</v>
      </c>
      <c r="J2" s="430" t="s">
        <v>8</v>
      </c>
      <c r="K2" s="434" t="s">
        <v>9</v>
      </c>
    </row>
    <row r="3" spans="1:11" s="6" customFormat="1">
      <c r="A3" s="422"/>
      <c r="B3" s="422"/>
      <c r="C3" s="461"/>
      <c r="D3" s="7" t="s">
        <v>3</v>
      </c>
      <c r="E3" s="186" t="s">
        <v>4</v>
      </c>
      <c r="F3" s="186" t="s">
        <v>5</v>
      </c>
      <c r="G3" s="186" t="s">
        <v>45</v>
      </c>
      <c r="H3" s="424"/>
      <c r="I3" s="424"/>
      <c r="J3" s="431"/>
      <c r="K3" s="435"/>
    </row>
    <row r="5" spans="1:11" ht="15" customHeight="1">
      <c r="A5" s="41">
        <v>1</v>
      </c>
      <c r="B5" s="41">
        <v>2.4500000000000002</v>
      </c>
      <c r="C5" s="447">
        <f>A5*(B5*B6)</f>
        <v>5.1450000000000005</v>
      </c>
      <c r="D5" s="448" t="s">
        <v>934</v>
      </c>
      <c r="E5" s="449"/>
      <c r="F5" s="449"/>
      <c r="G5" s="450"/>
    </row>
    <row r="6" spans="1:11" ht="15.75" thickBot="1">
      <c r="A6" s="41"/>
      <c r="B6" s="41">
        <v>2.1</v>
      </c>
      <c r="C6" s="447"/>
      <c r="D6" s="181"/>
      <c r="E6" s="98" t="s">
        <v>17</v>
      </c>
      <c r="F6" s="99" t="s">
        <v>18</v>
      </c>
      <c r="G6" s="182"/>
    </row>
    <row r="7" spans="1:11" ht="15.75" thickBot="1">
      <c r="B7" s="29"/>
      <c r="C7" s="121">
        <f ca="1">SUM(C5:(OFFSET(C7,-1,0)))</f>
        <v>5.1450000000000005</v>
      </c>
      <c r="D7" s="39"/>
      <c r="E7" s="34">
        <v>1200</v>
      </c>
      <c r="F7" s="34">
        <f ca="1">SUM(C7*(E7/1000))</f>
        <v>6.1740000000000004</v>
      </c>
      <c r="G7" s="34"/>
    </row>
    <row r="8" spans="1:11" ht="15.75" customHeight="1">
      <c r="D8" s="36">
        <f ca="1">SUM(((H8/'Plant Analysis'!$B$20)*'Labour Analysis'!$E$22)/H8)</f>
        <v>4.8333333333333339</v>
      </c>
      <c r="E8" s="31">
        <f ca="1">SUM(((H8/'Plant Analysis'!B20)*'Plant Analysis'!E18)/H8)</f>
        <v>8.3333333333333339</v>
      </c>
      <c r="F8" s="31">
        <v>0</v>
      </c>
      <c r="G8" s="31">
        <v>0</v>
      </c>
      <c r="H8" s="27">
        <f ca="1">$F7</f>
        <v>6.1740000000000004</v>
      </c>
      <c r="I8" s="50" t="s">
        <v>19</v>
      </c>
      <c r="J8" s="59">
        <f ca="1">SUM(D8:G8)</f>
        <v>13.166666666666668</v>
      </c>
      <c r="K8" s="49">
        <f ca="1">J8*H8</f>
        <v>81.291000000000011</v>
      </c>
    </row>
    <row r="9" spans="1:11">
      <c r="E9" s="346"/>
      <c r="F9" s="346"/>
      <c r="G9" s="346"/>
    </row>
    <row r="10" spans="1:11">
      <c r="D10" s="8"/>
      <c r="E10" s="499" t="s">
        <v>37</v>
      </c>
      <c r="F10" s="499"/>
      <c r="G10" s="348"/>
      <c r="H10" s="70"/>
      <c r="I10" s="70"/>
      <c r="J10" s="2"/>
      <c r="K10" s="10"/>
    </row>
    <row r="11" spans="1:11">
      <c r="D11" s="408" t="s">
        <v>20</v>
      </c>
      <c r="E11" s="409"/>
      <c r="F11" s="409"/>
      <c r="G11" s="409"/>
      <c r="H11" s="2"/>
      <c r="I11" s="2"/>
      <c r="J11" s="2"/>
      <c r="K11" s="10"/>
    </row>
    <row r="12" spans="1:11" ht="15.75" customHeight="1">
      <c r="A12" s="3"/>
      <c r="B12" s="5"/>
      <c r="C12" s="62"/>
      <c r="D12" s="342"/>
      <c r="E12" s="98" t="s">
        <v>17</v>
      </c>
      <c r="F12" s="99" t="s">
        <v>18</v>
      </c>
      <c r="G12" s="343"/>
      <c r="H12" s="2"/>
      <c r="I12" s="2"/>
      <c r="J12" s="2"/>
      <c r="K12" s="10"/>
    </row>
    <row r="13" spans="1:11">
      <c r="A13" s="3"/>
      <c r="B13" s="5"/>
      <c r="C13" s="62"/>
      <c r="D13" s="39"/>
      <c r="E13" s="34">
        <f>E7</f>
        <v>1200</v>
      </c>
      <c r="F13" s="34">
        <f ca="1">SUM($C7*(E13/1000))</f>
        <v>6.1740000000000004</v>
      </c>
      <c r="G13" s="34"/>
      <c r="H13" s="2"/>
      <c r="I13" s="2"/>
      <c r="J13" s="2"/>
      <c r="K13" s="10"/>
    </row>
    <row r="14" spans="1:11" ht="17.25">
      <c r="A14" s="3"/>
      <c r="B14" s="5"/>
      <c r="C14" s="62"/>
      <c r="D14" s="36">
        <v>0</v>
      </c>
      <c r="E14" s="31">
        <f ca="1">SUM((((H14*1.6)/'Plant Analysis'!$B$33)*'Plant Analysis'!$B$32)/H14)</f>
        <v>24</v>
      </c>
      <c r="F14" s="31">
        <v>0</v>
      </c>
      <c r="G14" s="31">
        <v>0</v>
      </c>
      <c r="H14" s="25">
        <f ca="1">F13</f>
        <v>6.1740000000000004</v>
      </c>
      <c r="I14" s="30" t="s">
        <v>19</v>
      </c>
      <c r="J14" s="41">
        <f ca="1">SUM(D14:G14)</f>
        <v>24</v>
      </c>
      <c r="K14" s="42">
        <f ca="1">SUM(H14*J14)</f>
        <v>148.17600000000002</v>
      </c>
    </row>
    <row r="16" spans="1:11" ht="15.75" customHeight="1">
      <c r="E16" s="420" t="s">
        <v>37</v>
      </c>
      <c r="F16" s="420"/>
    </row>
    <row r="17" spans="1:11" ht="15.75" customHeight="1">
      <c r="A17" s="3"/>
      <c r="B17" s="5"/>
      <c r="C17" s="62"/>
      <c r="D17" s="408" t="s">
        <v>460</v>
      </c>
      <c r="E17" s="409"/>
      <c r="F17" s="409"/>
      <c r="G17" s="409"/>
      <c r="H17" s="4"/>
      <c r="I17" s="4"/>
    </row>
    <row r="18" spans="1:11" ht="15" customHeight="1">
      <c r="A18" s="3"/>
      <c r="B18" s="5"/>
      <c r="C18" s="62"/>
      <c r="D18" s="408"/>
      <c r="E18" s="409"/>
      <c r="F18" s="409"/>
      <c r="G18" s="409"/>
      <c r="H18" s="4"/>
      <c r="I18" s="4"/>
    </row>
    <row r="19" spans="1:11" ht="15" customHeight="1">
      <c r="A19" s="3"/>
      <c r="B19" s="5"/>
      <c r="C19" s="62"/>
      <c r="D19" s="37"/>
      <c r="E19" s="32" t="s">
        <v>17</v>
      </c>
      <c r="F19" s="35" t="s">
        <v>241</v>
      </c>
      <c r="G19" s="34"/>
      <c r="H19" s="4"/>
      <c r="I19" s="4"/>
    </row>
    <row r="20" spans="1:11">
      <c r="A20" s="3"/>
      <c r="B20" s="5"/>
      <c r="C20" s="62"/>
      <c r="D20" s="38"/>
      <c r="E20" s="33">
        <v>150</v>
      </c>
      <c r="F20" s="34">
        <f ca="1">SUM(C7*(E20/1000))</f>
        <v>0.77175000000000005</v>
      </c>
      <c r="G20" s="34"/>
      <c r="H20" s="4"/>
      <c r="I20" s="4"/>
    </row>
    <row r="21" spans="1:11" ht="15" customHeight="1">
      <c r="A21" s="3"/>
      <c r="B21" s="5"/>
      <c r="C21" s="62"/>
      <c r="D21" s="39">
        <f>'Labour Analysis'!E24*1</f>
        <v>32</v>
      </c>
      <c r="E21" s="34">
        <v>0</v>
      </c>
      <c r="F21" s="34">
        <f>'Material Analysis'!I5</f>
        <v>75.599999999999994</v>
      </c>
      <c r="G21" s="34">
        <v>0</v>
      </c>
      <c r="H21" s="27">
        <f ca="1">F20</f>
        <v>0.77175000000000005</v>
      </c>
      <c r="I21" s="30" t="s">
        <v>340</v>
      </c>
      <c r="J21" s="41">
        <f>SUM(D21:G21)</f>
        <v>107.6</v>
      </c>
      <c r="K21" s="42">
        <f ca="1">SUM(H21*J21)</f>
        <v>83.040300000000002</v>
      </c>
    </row>
    <row r="22" spans="1:11" ht="15.75" customHeight="1"/>
    <row r="23" spans="1:11" ht="15.75" customHeight="1"/>
    <row r="24" spans="1:11" ht="15" customHeight="1" thickBot="1">
      <c r="D24" s="448" t="s">
        <v>921</v>
      </c>
      <c r="E24" s="449"/>
      <c r="F24" s="449"/>
      <c r="G24" s="450"/>
    </row>
    <row r="25" spans="1:11" ht="15.75" thickBot="1">
      <c r="A25" s="25">
        <v>1</v>
      </c>
      <c r="B25" s="41">
        <v>1</v>
      </c>
      <c r="C25" s="43">
        <f>A25*B25</f>
        <v>1</v>
      </c>
      <c r="D25" s="39">
        <f>'Labour Analysis'!$E$24*2</f>
        <v>64</v>
      </c>
      <c r="E25" s="34">
        <f>'Plant Analysis'!E18</f>
        <v>25</v>
      </c>
      <c r="F25" s="34">
        <f>'Material Analysis'!I104</f>
        <v>2000</v>
      </c>
      <c r="G25" s="34">
        <v>0</v>
      </c>
      <c r="H25" s="27">
        <f>$C25</f>
        <v>1</v>
      </c>
      <c r="I25" s="50" t="s">
        <v>44</v>
      </c>
      <c r="J25" s="59">
        <f>SUM(D25:G25)</f>
        <v>2089</v>
      </c>
      <c r="K25" s="49">
        <f>J25*H25</f>
        <v>2089</v>
      </c>
    </row>
    <row r="27" spans="1:11" ht="15" customHeight="1"/>
    <row r="28" spans="1:11" ht="15" customHeight="1">
      <c r="A28" s="41">
        <v>1</v>
      </c>
      <c r="B28" s="41">
        <v>2.4500000000000002</v>
      </c>
      <c r="C28" s="447">
        <f>A28*(B28*B29)</f>
        <v>5.1450000000000005</v>
      </c>
      <c r="D28" s="448" t="s">
        <v>223</v>
      </c>
      <c r="E28" s="449"/>
      <c r="F28" s="449"/>
      <c r="G28" s="450"/>
    </row>
    <row r="29" spans="1:11" ht="15" customHeight="1" thickBot="1">
      <c r="A29" s="41"/>
      <c r="B29" s="41">
        <v>2.1</v>
      </c>
      <c r="C29" s="447"/>
      <c r="D29" s="39">
        <f>'Labour Analysis'!$E$24*0.5</f>
        <v>16</v>
      </c>
      <c r="E29" s="34">
        <f>'Plant Analysis'!E18*1.5</f>
        <v>37.5</v>
      </c>
      <c r="F29" s="31">
        <v>0</v>
      </c>
      <c r="G29" s="31">
        <v>0</v>
      </c>
      <c r="H29" s="27">
        <f ca="1">C30</f>
        <v>5.1450000000000005</v>
      </c>
      <c r="I29" s="50" t="s">
        <v>213</v>
      </c>
      <c r="J29" s="59">
        <f>SUM(D29:G29)</f>
        <v>53.5</v>
      </c>
      <c r="K29" s="49">
        <f ca="1">J29*H29</f>
        <v>275.25750000000005</v>
      </c>
    </row>
    <row r="30" spans="1:11" ht="15.75" thickBot="1">
      <c r="B30" s="29"/>
      <c r="C30" s="121">
        <f ca="1">SUM(C28:(OFFSET(C30,-1,0)))</f>
        <v>5.1450000000000005</v>
      </c>
    </row>
    <row r="31" spans="1:11" ht="15.75" customHeight="1"/>
    <row r="32" spans="1:11" ht="15" customHeight="1">
      <c r="E32" s="346"/>
      <c r="F32" s="346"/>
      <c r="G32" s="346"/>
    </row>
    <row r="33" spans="5:7">
      <c r="E33" s="346"/>
      <c r="F33" s="346"/>
      <c r="G33" s="346"/>
    </row>
    <row r="34" spans="5:7" ht="15" customHeight="1">
      <c r="E34" s="346"/>
      <c r="F34" s="346"/>
      <c r="G34" s="346"/>
    </row>
    <row r="35" spans="5:7" ht="15" customHeight="1">
      <c r="E35" s="346"/>
      <c r="F35" s="346"/>
      <c r="G35" s="346"/>
    </row>
    <row r="36" spans="5:7" ht="15" customHeight="1">
      <c r="E36" s="346"/>
      <c r="F36" s="346"/>
      <c r="G36" s="346"/>
    </row>
    <row r="37" spans="5:7">
      <c r="E37" s="346"/>
      <c r="F37" s="346"/>
      <c r="G37" s="346"/>
    </row>
    <row r="38" spans="5:7">
      <c r="E38" s="346"/>
      <c r="F38" s="346"/>
      <c r="G38" s="346"/>
    </row>
    <row r="39" spans="5:7" ht="15" customHeight="1">
      <c r="E39" s="346"/>
      <c r="F39" s="346"/>
      <c r="G39" s="346"/>
    </row>
    <row r="40" spans="5:7" ht="15" customHeight="1">
      <c r="E40" s="346"/>
      <c r="F40" s="346"/>
      <c r="G40" s="346"/>
    </row>
    <row r="41" spans="5:7">
      <c r="E41" s="346"/>
      <c r="F41" s="346"/>
      <c r="G41" s="346"/>
    </row>
    <row r="42" spans="5:7">
      <c r="E42" s="346"/>
      <c r="F42" s="346"/>
      <c r="G42" s="346"/>
    </row>
    <row r="43" spans="5:7" ht="15" customHeight="1">
      <c r="E43" s="346"/>
      <c r="F43" s="346"/>
      <c r="G43" s="346"/>
    </row>
    <row r="44" spans="5:7" ht="15" customHeight="1">
      <c r="E44" s="346"/>
      <c r="F44" s="346"/>
      <c r="G44" s="346"/>
    </row>
    <row r="45" spans="5:7">
      <c r="E45" s="346"/>
      <c r="F45" s="346"/>
      <c r="G45" s="346"/>
    </row>
    <row r="47" spans="5:7" ht="15" customHeight="1"/>
    <row r="49" spans="2:11" ht="15" customHeight="1"/>
    <row r="52" spans="2:11">
      <c r="E52" s="346"/>
      <c r="F52" s="346"/>
      <c r="G52" s="346"/>
    </row>
    <row r="53" spans="2:11">
      <c r="E53" s="346"/>
      <c r="F53" s="346"/>
      <c r="G53" s="346"/>
    </row>
    <row r="54" spans="2:11">
      <c r="E54" s="346"/>
      <c r="F54" s="346"/>
      <c r="G54" s="346"/>
    </row>
    <row r="55" spans="2:11" s="29" customFormat="1" ht="15" customHeight="1">
      <c r="B55" s="13"/>
      <c r="C55" s="45"/>
      <c r="D55" s="9"/>
      <c r="E55" s="346"/>
      <c r="F55" s="346"/>
      <c r="G55" s="346"/>
      <c r="H55" s="51"/>
      <c r="I55" s="51"/>
      <c r="J55" s="4"/>
      <c r="K55" s="11"/>
    </row>
    <row r="56" spans="2:11">
      <c r="E56" s="346"/>
      <c r="F56" s="346"/>
      <c r="G56" s="346"/>
    </row>
    <row r="57" spans="2:11">
      <c r="E57" s="346"/>
      <c r="F57" s="346"/>
      <c r="G57" s="346"/>
    </row>
    <row r="61" spans="2:11" ht="15.75" thickBot="1"/>
    <row r="62" spans="2:11" ht="17.25" thickTop="1" thickBot="1">
      <c r="B62" s="405" t="s">
        <v>36</v>
      </c>
      <c r="C62" s="406"/>
      <c r="D62" s="72">
        <f ca="1">SUMPRODUCT(D4:D50,$H4:$H50)</f>
        <v>200.85700000000003</v>
      </c>
      <c r="E62" s="72">
        <f ca="1">SUMPRODUCT(E4:E50,$H4:$H50)</f>
        <v>417.56350000000009</v>
      </c>
      <c r="F62" s="72">
        <f ca="1">SUMPRODUCT(F4:F50,$H4:$H50)</f>
        <v>2058.3443000000002</v>
      </c>
      <c r="G62" s="72">
        <f ca="1">SUMPRODUCT(G4:G50,$H4:$H50)</f>
        <v>0</v>
      </c>
      <c r="H62" s="57">
        <f ca="1">SUM(D62:G62)</f>
        <v>2676.7648000000004</v>
      </c>
      <c r="I62" s="54"/>
      <c r="J62" s="199"/>
      <c r="K62" s="56">
        <f ca="1">SUM(K4:K50)</f>
        <v>2676.7648000000004</v>
      </c>
    </row>
    <row r="63" spans="2:11">
      <c r="B63" s="29"/>
      <c r="C63" s="14"/>
      <c r="G63" s="17"/>
      <c r="H63" s="4"/>
      <c r="I63" s="4"/>
      <c r="K63" s="58" t="str">
        <f ca="1">IF((H62+J62)=K62,"Correct")</f>
        <v>Correct</v>
      </c>
    </row>
    <row r="121" spans="2:11" s="29" customFormat="1" ht="15" customHeight="1">
      <c r="B121" s="13"/>
      <c r="C121" s="45"/>
      <c r="D121" s="9"/>
      <c r="E121" s="188"/>
      <c r="F121" s="188"/>
      <c r="G121" s="188"/>
      <c r="H121" s="51"/>
      <c r="I121" s="51"/>
      <c r="J121" s="4"/>
      <c r="K121" s="11"/>
    </row>
  </sheetData>
  <sheetProtection sheet="1" objects="1" scenarios="1" selectLockedCells="1" selectUnlockedCells="1"/>
  <mergeCells count="17">
    <mergeCell ref="K2:K3"/>
    <mergeCell ref="A2:A3"/>
    <mergeCell ref="B2:C3"/>
    <mergeCell ref="D2:G2"/>
    <mergeCell ref="H2:H3"/>
    <mergeCell ref="I2:I3"/>
    <mergeCell ref="J2:J3"/>
    <mergeCell ref="C28:C29"/>
    <mergeCell ref="D28:G28"/>
    <mergeCell ref="B62:C62"/>
    <mergeCell ref="C5:C6"/>
    <mergeCell ref="E16:F16"/>
    <mergeCell ref="D17:G18"/>
    <mergeCell ref="D24:G24"/>
    <mergeCell ref="E10:F10"/>
    <mergeCell ref="D11:G11"/>
    <mergeCell ref="D5:G5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 Ltd&amp;C&amp;P of &amp;N&amp;R&amp;A</oddFooter>
  </headerFooter>
  <drawing r:id="rId2"/>
  <legacyDrawingHF r:id="rId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52"/>
  <dimension ref="A1:K126"/>
  <sheetViews>
    <sheetView view="pageLayout" topLeftCell="A17" workbookViewId="0">
      <selection activeCell="E15" sqref="E15"/>
    </sheetView>
  </sheetViews>
  <sheetFormatPr defaultRowHeight="15"/>
  <cols>
    <col min="1" max="1" width="10.5703125" style="29" customWidth="1"/>
    <col min="2" max="2" width="10.5703125" style="13" customWidth="1"/>
    <col min="3" max="3" width="10.5703125" style="45" customWidth="1"/>
    <col min="4" max="4" width="9.28515625" style="9" bestFit="1" customWidth="1"/>
    <col min="5" max="5" width="9.28515625" style="16" customWidth="1"/>
    <col min="6" max="6" width="9.28515625" style="16" bestFit="1" customWidth="1"/>
    <col min="7" max="7" width="9.28515625" style="16" customWidth="1"/>
    <col min="8" max="8" width="10.5703125" style="51" customWidth="1"/>
    <col min="9" max="9" width="5.140625" style="51" customWidth="1"/>
    <col min="10" max="10" width="10.5703125" style="4" customWidth="1"/>
    <col min="11" max="11" width="10.5703125" style="11" customWidth="1"/>
  </cols>
  <sheetData>
    <row r="1" spans="1:11">
      <c r="A1" s="111" t="s">
        <v>59</v>
      </c>
      <c r="B1" s="60"/>
      <c r="C1" s="112"/>
      <c r="D1" s="83"/>
      <c r="E1" s="83"/>
      <c r="F1" s="83"/>
      <c r="G1" s="83"/>
      <c r="H1" s="106"/>
      <c r="I1" s="106"/>
      <c r="J1" s="106"/>
      <c r="K1" s="61"/>
    </row>
    <row r="2" spans="1:11" s="1" customFormat="1">
      <c r="A2" s="421" t="s">
        <v>0</v>
      </c>
      <c r="B2" s="421" t="s">
        <v>1</v>
      </c>
      <c r="C2" s="433"/>
      <c r="D2" s="432" t="s">
        <v>2</v>
      </c>
      <c r="E2" s="425"/>
      <c r="F2" s="425"/>
      <c r="G2" s="433"/>
      <c r="H2" s="423" t="s">
        <v>6</v>
      </c>
      <c r="I2" s="423" t="s">
        <v>7</v>
      </c>
      <c r="J2" s="430" t="s">
        <v>8</v>
      </c>
      <c r="K2" s="434" t="s">
        <v>9</v>
      </c>
    </row>
    <row r="3" spans="1:11" s="6" customFormat="1">
      <c r="A3" s="422"/>
      <c r="B3" s="422"/>
      <c r="C3" s="461"/>
      <c r="D3" s="7" t="s">
        <v>3</v>
      </c>
      <c r="E3" s="84" t="s">
        <v>4</v>
      </c>
      <c r="F3" s="84" t="s">
        <v>5</v>
      </c>
      <c r="G3" s="84" t="s">
        <v>45</v>
      </c>
      <c r="H3" s="424"/>
      <c r="I3" s="424"/>
      <c r="J3" s="431"/>
      <c r="K3" s="435"/>
    </row>
    <row r="4" spans="1:11">
      <c r="A4" s="3"/>
      <c r="B4" s="5"/>
      <c r="C4" s="62"/>
      <c r="D4" s="8"/>
      <c r="E4" s="12"/>
      <c r="F4" s="12"/>
      <c r="G4" s="12"/>
      <c r="H4" s="5"/>
      <c r="I4" s="70"/>
      <c r="J4" s="3"/>
      <c r="K4" s="10"/>
    </row>
    <row r="5" spans="1:11" ht="15" customHeight="1">
      <c r="A5" s="41">
        <v>1</v>
      </c>
      <c r="B5" s="41">
        <v>3.5</v>
      </c>
      <c r="C5" s="447">
        <f>A5*(B5*B6)</f>
        <v>17.150000000000002</v>
      </c>
      <c r="D5" s="408" t="s">
        <v>100</v>
      </c>
      <c r="E5" s="409"/>
      <c r="F5" s="409"/>
      <c r="G5" s="409"/>
      <c r="H5" s="70"/>
      <c r="I5" s="70"/>
      <c r="J5" s="2"/>
      <c r="K5" s="10"/>
    </row>
    <row r="6" spans="1:11">
      <c r="A6" s="41"/>
      <c r="B6" s="41">
        <v>4.9000000000000004</v>
      </c>
      <c r="C6" s="447"/>
      <c r="D6" s="408"/>
      <c r="E6" s="409"/>
      <c r="F6" s="409"/>
      <c r="G6" s="409"/>
      <c r="H6" s="70"/>
      <c r="I6" s="70"/>
      <c r="J6" s="2"/>
      <c r="K6" s="10"/>
    </row>
    <row r="7" spans="1:11">
      <c r="A7" s="41">
        <v>1</v>
      </c>
      <c r="B7" s="41">
        <v>3.3</v>
      </c>
      <c r="C7" s="447">
        <f>A7*(B7*B8)</f>
        <v>3.3</v>
      </c>
      <c r="D7" s="37"/>
      <c r="E7" s="32" t="s">
        <v>17</v>
      </c>
      <c r="F7" s="35" t="s">
        <v>241</v>
      </c>
      <c r="G7" s="34"/>
      <c r="H7" s="2"/>
      <c r="I7" s="2"/>
      <c r="J7" s="2"/>
      <c r="K7" s="10"/>
    </row>
    <row r="8" spans="1:11">
      <c r="A8" s="41"/>
      <c r="B8" s="41">
        <v>1</v>
      </c>
      <c r="C8" s="427"/>
      <c r="D8" s="38"/>
      <c r="E8" s="33">
        <v>200</v>
      </c>
      <c r="F8" s="34">
        <f ca="1">SUM(C15*(E8/1000))</f>
        <v>6.0340000000000007</v>
      </c>
      <c r="G8" s="34"/>
      <c r="H8" s="2"/>
      <c r="I8" s="2"/>
      <c r="J8" s="2"/>
      <c r="K8" s="10"/>
    </row>
    <row r="9" spans="1:11" ht="17.25">
      <c r="A9" s="41">
        <v>1</v>
      </c>
      <c r="B9" s="41">
        <v>0.9</v>
      </c>
      <c r="C9" s="447">
        <f>A9*(B9*B10)</f>
        <v>5.22</v>
      </c>
      <c r="D9" s="36">
        <f ca="1">SUM(((H9/'Plant Analysis'!$B$19)*'Labour Analysis'!$E$22)/H9)</f>
        <v>3.625</v>
      </c>
      <c r="E9" s="31">
        <f ca="1">SUM(((H9/'Plant Analysis'!$B$19)*'Plant Analysis'!$E$18)/H9)</f>
        <v>6.25</v>
      </c>
      <c r="F9" s="31">
        <v>0</v>
      </c>
      <c r="G9" s="31">
        <v>0</v>
      </c>
      <c r="H9" s="25">
        <f ca="1">$F8</f>
        <v>6.0340000000000007</v>
      </c>
      <c r="I9" s="30" t="s">
        <v>19</v>
      </c>
      <c r="J9" s="41">
        <f ca="1">SUM(D9:G9)</f>
        <v>9.875</v>
      </c>
      <c r="K9" s="42">
        <f ca="1">SUM(H9*J9)</f>
        <v>59.585750000000004</v>
      </c>
    </row>
    <row r="10" spans="1:11">
      <c r="A10" s="41"/>
      <c r="B10" s="41">
        <v>5.8</v>
      </c>
      <c r="C10" s="447"/>
      <c r="D10" s="8"/>
      <c r="E10" s="12"/>
      <c r="F10" s="12"/>
      <c r="G10" s="12"/>
      <c r="H10" s="70"/>
      <c r="I10" s="70"/>
      <c r="J10" s="2"/>
      <c r="K10" s="10"/>
    </row>
    <row r="11" spans="1:11">
      <c r="A11" s="41">
        <v>1</v>
      </c>
      <c r="B11" s="41">
        <v>0.9</v>
      </c>
      <c r="C11" s="447">
        <f>A11*(B11*B12)</f>
        <v>2.7</v>
      </c>
      <c r="D11" s="8"/>
      <c r="E11" s="499" t="s">
        <v>37</v>
      </c>
      <c r="F11" s="499"/>
      <c r="G11" s="12"/>
      <c r="H11" s="70"/>
      <c r="I11" s="70"/>
      <c r="J11" s="2"/>
      <c r="K11" s="10"/>
    </row>
    <row r="12" spans="1:11">
      <c r="A12" s="41"/>
      <c r="B12" s="41">
        <v>3</v>
      </c>
      <c r="C12" s="427"/>
      <c r="D12" s="408" t="s">
        <v>20</v>
      </c>
      <c r="E12" s="409"/>
      <c r="F12" s="409"/>
      <c r="G12" s="409"/>
      <c r="H12" s="2"/>
      <c r="I12" s="2"/>
      <c r="J12" s="2"/>
      <c r="K12" s="10"/>
    </row>
    <row r="13" spans="1:11">
      <c r="A13" s="41">
        <v>1</v>
      </c>
      <c r="B13" s="41">
        <v>1.5</v>
      </c>
      <c r="C13" s="447">
        <f>A13*(B13*B14)</f>
        <v>1.7999999999999998</v>
      </c>
      <c r="D13" s="37"/>
      <c r="E13" s="32" t="s">
        <v>17</v>
      </c>
      <c r="F13" s="35" t="s">
        <v>241</v>
      </c>
      <c r="G13" s="34"/>
      <c r="H13" s="2"/>
      <c r="I13" s="2"/>
      <c r="J13" s="2"/>
      <c r="K13" s="10"/>
    </row>
    <row r="14" spans="1:11" ht="15.75" thickBot="1">
      <c r="A14" s="41"/>
      <c r="B14" s="41">
        <v>1.2</v>
      </c>
      <c r="C14" s="427"/>
      <c r="D14" s="38"/>
      <c r="E14" s="33">
        <f>E8</f>
        <v>200</v>
      </c>
      <c r="F14" s="34">
        <f ca="1">SUM(C15*(E14/1000))</f>
        <v>6.0340000000000007</v>
      </c>
      <c r="G14" s="34"/>
      <c r="H14" s="2"/>
      <c r="I14" s="2"/>
      <c r="J14" s="2"/>
      <c r="K14" s="10"/>
    </row>
    <row r="15" spans="1:11" ht="18" thickBot="1">
      <c r="B15" s="29"/>
      <c r="C15" s="121">
        <f ca="1">SUM(C5:(OFFSET(C15,-1,0)))</f>
        <v>30.17</v>
      </c>
      <c r="D15" s="36">
        <v>0</v>
      </c>
      <c r="E15" s="31">
        <f ca="1">SUM((((H15*1.6)/'Plant Analysis'!$B$33)*'Plant Analysis'!$B$32)/H15)</f>
        <v>24.000000000000004</v>
      </c>
      <c r="F15" s="31">
        <v>0</v>
      </c>
      <c r="G15" s="31">
        <v>0</v>
      </c>
      <c r="H15" s="25">
        <f ca="1">$F14</f>
        <v>6.0340000000000007</v>
      </c>
      <c r="I15" s="30" t="s">
        <v>19</v>
      </c>
      <c r="J15" s="41">
        <f ca="1">SUM(D15:G15)</f>
        <v>24.000000000000004</v>
      </c>
      <c r="K15" s="42">
        <f ca="1">SUM(H15*J15)</f>
        <v>144.81600000000003</v>
      </c>
    </row>
    <row r="16" spans="1:11">
      <c r="A16" s="3"/>
      <c r="B16" s="5"/>
      <c r="C16" s="62"/>
      <c r="D16" s="8"/>
      <c r="E16" s="12"/>
      <c r="F16" s="12"/>
      <c r="G16" s="12"/>
      <c r="H16" s="70"/>
      <c r="I16" s="70"/>
      <c r="J16" s="2"/>
      <c r="K16" s="10"/>
    </row>
    <row r="17" spans="1:11">
      <c r="A17" s="3"/>
      <c r="B17" s="5"/>
      <c r="C17" s="62"/>
      <c r="D17" s="8"/>
      <c r="E17" s="499" t="s">
        <v>37</v>
      </c>
      <c r="F17" s="499"/>
      <c r="G17" s="12"/>
      <c r="H17" s="70"/>
      <c r="I17" s="70"/>
      <c r="J17" s="2"/>
      <c r="K17" s="10"/>
    </row>
    <row r="18" spans="1:11">
      <c r="A18" s="3"/>
      <c r="B18" s="5"/>
      <c r="C18" s="62"/>
      <c r="D18" s="408" t="s">
        <v>460</v>
      </c>
      <c r="E18" s="409"/>
      <c r="F18" s="409"/>
      <c r="G18" s="409"/>
      <c r="H18" s="4"/>
      <c r="I18" s="4"/>
    </row>
    <row r="19" spans="1:11">
      <c r="A19" s="3"/>
      <c r="B19" s="5"/>
      <c r="C19" s="62"/>
      <c r="D19" s="408"/>
      <c r="E19" s="409"/>
      <c r="F19" s="409"/>
      <c r="G19" s="409"/>
      <c r="H19" s="4"/>
      <c r="I19" s="4"/>
    </row>
    <row r="20" spans="1:11" ht="15" customHeight="1">
      <c r="A20" s="3"/>
      <c r="B20" s="5"/>
      <c r="C20" s="62"/>
      <c r="D20" s="37"/>
      <c r="E20" s="32" t="s">
        <v>17</v>
      </c>
      <c r="F20" s="35" t="s">
        <v>241</v>
      </c>
      <c r="G20" s="34"/>
      <c r="H20" s="4"/>
      <c r="I20" s="4"/>
    </row>
    <row r="21" spans="1:11">
      <c r="A21" s="3"/>
      <c r="B21" s="5"/>
      <c r="C21" s="62"/>
      <c r="D21" s="38"/>
      <c r="E21" s="33">
        <v>150</v>
      </c>
      <c r="F21" s="34">
        <f ca="1">SUM(C15*(E21/1000))</f>
        <v>4.5255000000000001</v>
      </c>
      <c r="G21" s="34"/>
      <c r="H21" s="4"/>
      <c r="I21" s="4"/>
    </row>
    <row r="22" spans="1:11">
      <c r="A22" s="3"/>
      <c r="B22" s="5"/>
      <c r="C22" s="62"/>
      <c r="D22" s="39">
        <f>'Labour Analysis'!E24*1</f>
        <v>32</v>
      </c>
      <c r="E22" s="34">
        <v>0</v>
      </c>
      <c r="F22" s="34">
        <f>'Material Analysis'!I5</f>
        <v>75.599999999999994</v>
      </c>
      <c r="G22" s="34">
        <v>0</v>
      </c>
      <c r="H22" s="27">
        <f ca="1">F21</f>
        <v>4.5255000000000001</v>
      </c>
      <c r="I22" s="30" t="s">
        <v>340</v>
      </c>
      <c r="J22" s="41">
        <f>SUM(D22:G22)</f>
        <v>107.6</v>
      </c>
      <c r="K22" s="42">
        <f ca="1">SUM(H22*J22)</f>
        <v>486.94380000000001</v>
      </c>
    </row>
    <row r="23" spans="1:11" ht="15" customHeight="1">
      <c r="A23" s="3"/>
      <c r="B23" s="5"/>
      <c r="C23" s="62"/>
    </row>
    <row r="24" spans="1:11">
      <c r="A24" s="3"/>
      <c r="B24" s="5"/>
      <c r="C24" s="62"/>
      <c r="D24" s="8"/>
      <c r="E24" s="499" t="s">
        <v>37</v>
      </c>
      <c r="F24" s="499"/>
      <c r="G24" s="12"/>
      <c r="H24" s="70"/>
      <c r="I24" s="70"/>
      <c r="J24" s="2"/>
      <c r="K24" s="10"/>
    </row>
    <row r="25" spans="1:11" ht="15" customHeight="1">
      <c r="A25" s="3"/>
      <c r="B25" s="5"/>
      <c r="C25" s="62"/>
      <c r="D25" s="408" t="s">
        <v>866</v>
      </c>
      <c r="E25" s="409"/>
      <c r="F25" s="409"/>
      <c r="G25" s="409"/>
      <c r="H25" s="2"/>
      <c r="I25" s="2"/>
      <c r="J25" s="2"/>
      <c r="K25" s="10"/>
    </row>
    <row r="26" spans="1:11" ht="15" customHeight="1">
      <c r="A26" s="3"/>
      <c r="B26" s="5"/>
      <c r="C26" s="62"/>
      <c r="D26" s="37"/>
      <c r="E26" s="32" t="s">
        <v>17</v>
      </c>
      <c r="F26" s="35" t="s">
        <v>241</v>
      </c>
      <c r="G26" s="34"/>
      <c r="H26" s="2"/>
      <c r="I26" s="2"/>
      <c r="J26" s="2"/>
      <c r="K26" s="10"/>
    </row>
    <row r="27" spans="1:11" ht="15" customHeight="1">
      <c r="A27" s="3"/>
      <c r="B27" s="5"/>
      <c r="C27" s="62"/>
      <c r="D27" s="38"/>
      <c r="E27" s="33">
        <v>50</v>
      </c>
      <c r="F27" s="34">
        <f ca="1">SUM(C15*(E27/1000))</f>
        <v>1.5085000000000002</v>
      </c>
      <c r="G27" s="34"/>
      <c r="H27" s="2"/>
      <c r="I27" s="2"/>
      <c r="J27" s="2"/>
      <c r="K27" s="10"/>
    </row>
    <row r="28" spans="1:11" ht="17.25">
      <c r="A28" s="3"/>
      <c r="B28" s="5"/>
      <c r="C28" s="62"/>
      <c r="D28" s="39">
        <f>'Labour Analysis'!$E$24*0.5</f>
        <v>16</v>
      </c>
      <c r="E28" s="31">
        <v>0</v>
      </c>
      <c r="F28" s="31">
        <f>'Material Analysis'!I9</f>
        <v>31.5</v>
      </c>
      <c r="G28" s="31">
        <v>0</v>
      </c>
      <c r="H28" s="27">
        <f ca="1">F27</f>
        <v>1.5085000000000002</v>
      </c>
      <c r="I28" s="30" t="s">
        <v>13</v>
      </c>
      <c r="J28" s="41">
        <f>SUM(D28:G28)</f>
        <v>47.5</v>
      </c>
      <c r="K28" s="42">
        <f ca="1">SUM(H28*J28)</f>
        <v>71.653750000000002</v>
      </c>
    </row>
    <row r="29" spans="1:11">
      <c r="A29" s="3"/>
      <c r="B29" s="5"/>
      <c r="C29" s="62"/>
    </row>
    <row r="30" spans="1:11">
      <c r="A30" s="3"/>
      <c r="B30" s="5"/>
      <c r="C30" s="62"/>
      <c r="E30" s="420" t="s">
        <v>37</v>
      </c>
      <c r="F30" s="420"/>
      <c r="G30" s="119"/>
      <c r="H30" s="4"/>
      <c r="I30" s="4"/>
    </row>
    <row r="31" spans="1:11" ht="15" customHeight="1">
      <c r="A31" s="3"/>
      <c r="B31" s="5"/>
      <c r="C31" s="62"/>
      <c r="D31" s="439" t="s">
        <v>867</v>
      </c>
      <c r="E31" s="440"/>
      <c r="F31" s="440"/>
      <c r="G31" s="441"/>
      <c r="H31" s="4"/>
      <c r="I31" s="4"/>
    </row>
    <row r="32" spans="1:11">
      <c r="A32" s="3"/>
      <c r="B32" s="5"/>
      <c r="C32" s="62"/>
      <c r="D32" s="295" t="s">
        <v>283</v>
      </c>
      <c r="E32" s="503">
        <f>'Material Analysis'!I106</f>
        <v>21</v>
      </c>
      <c r="F32" s="504"/>
      <c r="G32" s="505"/>
      <c r="H32" s="4"/>
      <c r="I32" s="4"/>
    </row>
    <row r="33" spans="1:11" ht="17.25">
      <c r="A33" s="3"/>
      <c r="B33" s="5"/>
      <c r="C33" s="62"/>
      <c r="D33" s="39">
        <f>'Labour Analysis'!$E$24*0.5</f>
        <v>16</v>
      </c>
      <c r="E33" s="34">
        <v>0</v>
      </c>
      <c r="F33" s="34">
        <f>'Material Analysis'!I106+5</f>
        <v>26</v>
      </c>
      <c r="G33" s="34">
        <v>0</v>
      </c>
      <c r="H33" s="27">
        <f ca="1">$C15</f>
        <v>30.17</v>
      </c>
      <c r="I33" s="30" t="s">
        <v>13</v>
      </c>
      <c r="J33" s="41">
        <f>SUM(D33:G33)</f>
        <v>42</v>
      </c>
      <c r="K33" s="42">
        <f ca="1">SUM(H33*J33)</f>
        <v>1267.1400000000001</v>
      </c>
    </row>
    <row r="34" spans="1:11">
      <c r="D34" s="67"/>
      <c r="E34"/>
      <c r="F34"/>
      <c r="G34"/>
      <c r="K34" s="71"/>
    </row>
    <row r="36" spans="1:11">
      <c r="A36" s="41">
        <v>1</v>
      </c>
      <c r="B36" s="41">
        <v>7</v>
      </c>
      <c r="C36" s="447">
        <f>A36*(B36*B37)</f>
        <v>21</v>
      </c>
      <c r="D36" s="408" t="s">
        <v>354</v>
      </c>
      <c r="E36" s="409"/>
      <c r="F36" s="409"/>
      <c r="G36" s="409"/>
      <c r="H36" s="70"/>
      <c r="I36" s="70"/>
      <c r="J36" s="2"/>
      <c r="K36" s="10"/>
    </row>
    <row r="37" spans="1:11">
      <c r="A37" s="41"/>
      <c r="B37" s="41">
        <v>3</v>
      </c>
      <c r="C37" s="447"/>
      <c r="D37" s="408"/>
      <c r="E37" s="409"/>
      <c r="F37" s="409"/>
      <c r="G37" s="409"/>
      <c r="H37" s="70"/>
      <c r="I37" s="70"/>
      <c r="J37" s="2"/>
      <c r="K37" s="10"/>
    </row>
    <row r="38" spans="1:11">
      <c r="A38" s="41">
        <v>1</v>
      </c>
      <c r="B38" s="41">
        <v>10.6</v>
      </c>
      <c r="C38" s="447">
        <f>A38*(B38*B39)</f>
        <v>63.599999999999994</v>
      </c>
      <c r="D38" s="37"/>
      <c r="E38" s="32" t="s">
        <v>17</v>
      </c>
      <c r="F38" s="35" t="s">
        <v>241</v>
      </c>
      <c r="G38" s="34"/>
      <c r="H38" s="2"/>
      <c r="I38" s="2"/>
      <c r="J38" s="2"/>
      <c r="K38" s="10"/>
    </row>
    <row r="39" spans="1:11">
      <c r="A39" s="41"/>
      <c r="B39" s="41">
        <v>6</v>
      </c>
      <c r="C39" s="427"/>
      <c r="D39" s="38"/>
      <c r="E39" s="33">
        <v>300</v>
      </c>
      <c r="F39" s="34">
        <f ca="1">SUM(C44*(E39/1000))</f>
        <v>32.819999999999993</v>
      </c>
      <c r="G39" s="34"/>
      <c r="H39" s="2"/>
      <c r="I39" s="2"/>
      <c r="J39" s="2"/>
      <c r="K39" s="10"/>
    </row>
    <row r="40" spans="1:11" ht="17.25">
      <c r="A40" s="41">
        <v>1</v>
      </c>
      <c r="B40" s="41">
        <v>3.7</v>
      </c>
      <c r="C40" s="447">
        <f>A40*(B40*B41)</f>
        <v>14.8</v>
      </c>
      <c r="D40" s="36">
        <f ca="1">SUM(((H40/'Plant Analysis'!$B$19)*'Labour Analysis'!$E$22)/H40)</f>
        <v>3.625</v>
      </c>
      <c r="E40" s="31">
        <f ca="1">SUM(((H40/'Plant Analysis'!$B$19)*'Plant Analysis'!$E$18)/H40)</f>
        <v>6.25</v>
      </c>
      <c r="F40" s="31">
        <v>0</v>
      </c>
      <c r="G40" s="31">
        <v>0</v>
      </c>
      <c r="H40" s="25">
        <f ca="1">$F39</f>
        <v>32.819999999999993</v>
      </c>
      <c r="I40" s="30" t="s">
        <v>19</v>
      </c>
      <c r="J40" s="41">
        <f ca="1">SUM(D40:G40)</f>
        <v>9.875</v>
      </c>
      <c r="K40" s="42">
        <f ca="1">SUM(H40*J40)</f>
        <v>324.09749999999991</v>
      </c>
    </row>
    <row r="41" spans="1:11">
      <c r="A41" s="41"/>
      <c r="B41" s="41">
        <v>4</v>
      </c>
      <c r="C41" s="427"/>
      <c r="D41" s="8"/>
      <c r="E41" s="228"/>
      <c r="F41" s="228"/>
      <c r="G41" s="228"/>
      <c r="H41" s="70"/>
      <c r="I41" s="70"/>
      <c r="J41" s="2"/>
      <c r="K41" s="10"/>
    </row>
    <row r="42" spans="1:11">
      <c r="A42" s="41">
        <v>1</v>
      </c>
      <c r="B42" s="41">
        <v>10</v>
      </c>
      <c r="C42" s="447">
        <f>A42*(B42*B43)</f>
        <v>10</v>
      </c>
      <c r="D42" s="8"/>
      <c r="E42" s="499" t="s">
        <v>37</v>
      </c>
      <c r="F42" s="499"/>
      <c r="G42" s="228"/>
      <c r="H42" s="70"/>
      <c r="I42" s="70"/>
      <c r="J42" s="2"/>
      <c r="K42" s="10"/>
    </row>
    <row r="43" spans="1:11" ht="15.75" thickBot="1">
      <c r="A43" s="41"/>
      <c r="B43" s="41">
        <v>1</v>
      </c>
      <c r="C43" s="427"/>
      <c r="D43" s="408" t="s">
        <v>20</v>
      </c>
      <c r="E43" s="409"/>
      <c r="F43" s="409"/>
      <c r="G43" s="409"/>
      <c r="H43" s="2"/>
      <c r="I43" s="2"/>
      <c r="J43" s="2"/>
      <c r="K43" s="10"/>
    </row>
    <row r="44" spans="1:11" ht="15.75" thickBot="1">
      <c r="B44" s="29"/>
      <c r="C44" s="121">
        <f ca="1">SUM(C36:(OFFSET(C44,-1,0)))</f>
        <v>109.39999999999999</v>
      </c>
      <c r="D44" s="37"/>
      <c r="E44" s="32" t="s">
        <v>17</v>
      </c>
      <c r="F44" s="35" t="s">
        <v>241</v>
      </c>
      <c r="G44" s="34"/>
      <c r="H44" s="2"/>
      <c r="I44" s="2"/>
      <c r="J44" s="2"/>
      <c r="K44" s="10"/>
    </row>
    <row r="45" spans="1:11">
      <c r="A45" s="3"/>
      <c r="B45" s="5"/>
      <c r="C45" s="62"/>
      <c r="D45" s="38"/>
      <c r="E45" s="33">
        <v>300</v>
      </c>
      <c r="F45" s="34">
        <f ca="1">SUM(C44*(E45/1000))</f>
        <v>32.819999999999993</v>
      </c>
      <c r="G45" s="34"/>
      <c r="H45" s="2"/>
      <c r="I45" s="2"/>
      <c r="J45" s="2"/>
      <c r="K45" s="10"/>
    </row>
    <row r="46" spans="1:11" ht="17.25">
      <c r="A46" s="3"/>
      <c r="B46" s="5"/>
      <c r="C46" s="62"/>
      <c r="D46" s="36">
        <f ca="1">SUM(((H46/4)*'Labour Analysis'!E54)/H46)</f>
        <v>0</v>
      </c>
      <c r="E46" s="31">
        <f ca="1">SUM((((H46*1.6)/'Plant Analysis'!$B$33)*'Plant Analysis'!$B$32)/H46)</f>
        <v>24</v>
      </c>
      <c r="F46" s="31">
        <v>0</v>
      </c>
      <c r="G46" s="31">
        <v>0</v>
      </c>
      <c r="H46" s="25">
        <f ca="1">$F45</f>
        <v>32.819999999999993</v>
      </c>
      <c r="I46" s="30" t="s">
        <v>19</v>
      </c>
      <c r="J46" s="41">
        <f ca="1">SUM(D46:G46)</f>
        <v>24</v>
      </c>
      <c r="K46" s="42">
        <f ca="1">SUM(H46*J46)</f>
        <v>787.67999999999984</v>
      </c>
    </row>
    <row r="47" spans="1:11">
      <c r="A47" s="3"/>
      <c r="B47" s="5"/>
      <c r="C47" s="62"/>
      <c r="D47" s="8"/>
      <c r="E47" s="228"/>
      <c r="F47" s="228"/>
      <c r="G47" s="228"/>
      <c r="H47" s="70"/>
      <c r="I47" s="70"/>
      <c r="J47" s="2"/>
      <c r="K47" s="10"/>
    </row>
    <row r="48" spans="1:11">
      <c r="A48" s="3"/>
      <c r="B48" s="5"/>
      <c r="C48" s="62"/>
      <c r="D48" s="8"/>
      <c r="E48" s="499" t="s">
        <v>37</v>
      </c>
      <c r="F48" s="499"/>
      <c r="G48" s="228"/>
      <c r="H48" s="70"/>
      <c r="I48" s="70"/>
      <c r="J48" s="2"/>
      <c r="K48" s="10"/>
    </row>
    <row r="49" spans="1:11">
      <c r="A49" s="3"/>
      <c r="B49" s="5"/>
      <c r="C49" s="62"/>
      <c r="D49" s="408" t="s">
        <v>460</v>
      </c>
      <c r="E49" s="409"/>
      <c r="F49" s="409"/>
      <c r="G49" s="409"/>
      <c r="H49" s="4"/>
      <c r="I49" s="4"/>
    </row>
    <row r="50" spans="1:11" ht="15" customHeight="1">
      <c r="A50" s="3"/>
      <c r="B50" s="5"/>
      <c r="C50" s="62"/>
      <c r="D50" s="408"/>
      <c r="E50" s="409"/>
      <c r="F50" s="409"/>
      <c r="G50" s="409"/>
      <c r="H50" s="4"/>
      <c r="I50" s="4"/>
    </row>
    <row r="51" spans="1:11" ht="15" customHeight="1">
      <c r="A51" s="3"/>
      <c r="B51" s="5"/>
      <c r="C51" s="62"/>
      <c r="D51" s="37"/>
      <c r="E51" s="32" t="s">
        <v>17</v>
      </c>
      <c r="F51" s="35" t="s">
        <v>241</v>
      </c>
      <c r="G51" s="34"/>
      <c r="H51" s="4"/>
      <c r="I51" s="4"/>
    </row>
    <row r="52" spans="1:11">
      <c r="A52" s="3"/>
      <c r="B52" s="5"/>
      <c r="C52" s="62"/>
      <c r="D52" s="38"/>
      <c r="E52" s="33">
        <v>250</v>
      </c>
      <c r="F52" s="34">
        <f ca="1">SUM(C44*(E52/1000))</f>
        <v>27.349999999999998</v>
      </c>
      <c r="G52" s="34"/>
      <c r="H52" s="4"/>
      <c r="I52" s="4"/>
    </row>
    <row r="53" spans="1:11">
      <c r="A53" s="3"/>
      <c r="B53" s="5"/>
      <c r="C53" s="62"/>
      <c r="D53" s="39">
        <f>'Labour Analysis'!E24*1</f>
        <v>32</v>
      </c>
      <c r="E53" s="34">
        <v>0</v>
      </c>
      <c r="F53" s="34">
        <f>'Material Analysis'!I5</f>
        <v>75.599999999999994</v>
      </c>
      <c r="G53" s="34">
        <v>0</v>
      </c>
      <c r="H53" s="27">
        <f ca="1">F52</f>
        <v>27.349999999999998</v>
      </c>
      <c r="I53" s="30" t="s">
        <v>340</v>
      </c>
      <c r="J53" s="41">
        <f>SUM(D53:G53)</f>
        <v>107.6</v>
      </c>
      <c r="K53" s="42">
        <f ca="1">SUM(H53*J53)</f>
        <v>2942.8599999999997</v>
      </c>
    </row>
    <row r="54" spans="1:11" ht="15" customHeight="1">
      <c r="A54" s="3"/>
      <c r="B54" s="5"/>
      <c r="C54" s="62"/>
      <c r="E54" s="223"/>
      <c r="F54" s="223"/>
      <c r="G54" s="223"/>
    </row>
    <row r="55" spans="1:11">
      <c r="A55" s="3"/>
      <c r="B55" s="5"/>
      <c r="C55" s="62"/>
      <c r="D55" s="8"/>
      <c r="E55" s="499" t="s">
        <v>37</v>
      </c>
      <c r="F55" s="499"/>
      <c r="G55" s="228"/>
      <c r="H55" s="70"/>
      <c r="I55" s="70"/>
      <c r="J55" s="2"/>
      <c r="K55" s="10"/>
    </row>
    <row r="56" spans="1:11">
      <c r="A56" s="3"/>
      <c r="B56" s="5"/>
      <c r="C56" s="62"/>
      <c r="D56" s="408" t="s">
        <v>866</v>
      </c>
      <c r="E56" s="409"/>
      <c r="F56" s="409"/>
      <c r="G56" s="409"/>
      <c r="H56" s="2"/>
      <c r="I56" s="2"/>
      <c r="J56" s="2"/>
      <c r="K56" s="10"/>
    </row>
    <row r="57" spans="1:11">
      <c r="A57" s="3"/>
      <c r="B57" s="5"/>
      <c r="C57" s="62"/>
      <c r="D57" s="37"/>
      <c r="E57" s="32" t="s">
        <v>17</v>
      </c>
      <c r="F57" s="35" t="s">
        <v>241</v>
      </c>
      <c r="G57" s="34"/>
      <c r="H57" s="4"/>
      <c r="I57" s="4"/>
    </row>
    <row r="58" spans="1:11">
      <c r="A58" s="3"/>
      <c r="B58" s="5"/>
      <c r="C58" s="62"/>
      <c r="D58" s="38"/>
      <c r="E58" s="33">
        <v>50</v>
      </c>
      <c r="F58" s="34">
        <f ca="1">SUM(C44*(E58/1000))</f>
        <v>5.47</v>
      </c>
      <c r="G58" s="34"/>
      <c r="H58" s="4"/>
      <c r="I58" s="4"/>
    </row>
    <row r="59" spans="1:11" ht="17.25">
      <c r="A59" s="3"/>
      <c r="B59" s="5"/>
      <c r="C59" s="62"/>
      <c r="D59" s="39">
        <f>'Labour Analysis'!$E$24*0.5</f>
        <v>16</v>
      </c>
      <c r="E59" s="31">
        <v>0</v>
      </c>
      <c r="F59" s="31">
        <f>'Material Analysis'!I9</f>
        <v>31.5</v>
      </c>
      <c r="G59" s="31">
        <v>0</v>
      </c>
      <c r="H59" s="27">
        <f ca="1">F58</f>
        <v>5.47</v>
      </c>
      <c r="I59" s="30" t="s">
        <v>13</v>
      </c>
      <c r="J59" s="41">
        <f>SUM(D59:G59)</f>
        <v>47.5</v>
      </c>
      <c r="K59" s="42">
        <f ca="1">SUM(H59*J59)</f>
        <v>259.82499999999999</v>
      </c>
    </row>
    <row r="60" spans="1:11">
      <c r="A60" s="3"/>
      <c r="B60" s="5"/>
      <c r="C60" s="62"/>
      <c r="E60" s="346"/>
      <c r="F60" s="346"/>
      <c r="G60" s="346"/>
    </row>
    <row r="61" spans="1:11">
      <c r="A61" s="3"/>
      <c r="B61" s="5"/>
      <c r="C61" s="62"/>
      <c r="D61" s="8"/>
      <c r="E61" s="499" t="s">
        <v>37</v>
      </c>
      <c r="F61" s="499"/>
      <c r="G61" s="348"/>
      <c r="H61" s="70"/>
      <c r="I61" s="70"/>
      <c r="J61" s="2"/>
      <c r="K61" s="10"/>
    </row>
    <row r="62" spans="1:11">
      <c r="A62" s="3"/>
      <c r="B62" s="5"/>
      <c r="C62" s="62"/>
      <c r="D62" s="408" t="s">
        <v>922</v>
      </c>
      <c r="E62" s="409"/>
      <c r="F62" s="409"/>
      <c r="G62" s="409"/>
      <c r="H62" s="2"/>
      <c r="I62" s="2"/>
      <c r="J62" s="2"/>
      <c r="K62" s="10"/>
    </row>
    <row r="63" spans="1:11">
      <c r="A63" s="3"/>
      <c r="B63" s="5"/>
      <c r="C63" s="62"/>
      <c r="D63" s="37"/>
      <c r="E63" s="32" t="s">
        <v>17</v>
      </c>
      <c r="F63" s="35" t="s">
        <v>241</v>
      </c>
      <c r="G63" s="34"/>
      <c r="H63" s="4"/>
      <c r="I63" s="4"/>
    </row>
    <row r="64" spans="1:11">
      <c r="A64" s="3"/>
      <c r="B64" s="5"/>
      <c r="C64" s="62"/>
      <c r="D64" s="38"/>
      <c r="E64" s="33">
        <v>50</v>
      </c>
      <c r="F64" s="34">
        <f ca="1">SUM(C44*(E64/1000))</f>
        <v>5.47</v>
      </c>
      <c r="G64" s="34"/>
      <c r="H64" s="4"/>
      <c r="I64" s="4"/>
    </row>
    <row r="65" spans="1:11" ht="17.25">
      <c r="A65" s="3"/>
      <c r="B65" s="5"/>
      <c r="C65" s="62"/>
      <c r="D65" s="39">
        <f>'Labour Analysis'!$E$24*0.5</f>
        <v>16</v>
      </c>
      <c r="E65" s="31">
        <v>0</v>
      </c>
      <c r="F65" s="31">
        <f>'Material Analysis'!I6</f>
        <v>31.5</v>
      </c>
      <c r="G65" s="31">
        <v>0</v>
      </c>
      <c r="H65" s="27">
        <f ca="1">F64</f>
        <v>5.47</v>
      </c>
      <c r="I65" s="30" t="s">
        <v>13</v>
      </c>
      <c r="J65" s="41">
        <f>SUM(D65:G65)</f>
        <v>47.5</v>
      </c>
      <c r="K65" s="42">
        <f ca="1">SUM(H65*J65)</f>
        <v>259.82499999999999</v>
      </c>
    </row>
    <row r="66" spans="1:11">
      <c r="D66" s="67"/>
      <c r="E66"/>
      <c r="F66"/>
      <c r="G66"/>
      <c r="K66" s="71"/>
    </row>
    <row r="67" spans="1:11">
      <c r="E67" s="223"/>
      <c r="F67" s="223"/>
      <c r="G67" s="223"/>
    </row>
    <row r="68" spans="1:11" ht="15" customHeight="1">
      <c r="A68" s="27">
        <v>1</v>
      </c>
      <c r="B68" s="27">
        <v>2</v>
      </c>
      <c r="C68" s="187">
        <f t="shared" ref="C68:C74" si="0">A68*B68</f>
        <v>2</v>
      </c>
      <c r="D68" s="448" t="s">
        <v>217</v>
      </c>
      <c r="E68" s="449"/>
      <c r="F68" s="449"/>
      <c r="G68" s="450"/>
    </row>
    <row r="69" spans="1:11">
      <c r="A69" s="25">
        <v>3</v>
      </c>
      <c r="B69" s="25">
        <v>2.5</v>
      </c>
      <c r="C69" s="183">
        <f t="shared" si="0"/>
        <v>7.5</v>
      </c>
      <c r="D69" s="451"/>
      <c r="E69" s="452"/>
      <c r="F69" s="452"/>
      <c r="G69" s="453"/>
    </row>
    <row r="70" spans="1:11">
      <c r="A70" s="27">
        <v>2</v>
      </c>
      <c r="B70" s="27">
        <v>5</v>
      </c>
      <c r="C70" s="345">
        <f t="shared" si="0"/>
        <v>10</v>
      </c>
      <c r="D70" s="39">
        <f>'Labour Analysis'!$E$24*0.5</f>
        <v>16</v>
      </c>
      <c r="E70" s="31">
        <v>0</v>
      </c>
      <c r="F70" s="31">
        <f>'Material Analysis'!I107</f>
        <v>15.799999999999999</v>
      </c>
      <c r="G70" s="31">
        <v>0</v>
      </c>
      <c r="H70" s="25">
        <f ca="1">$C75</f>
        <v>40.199999999999996</v>
      </c>
      <c r="I70" s="30" t="s">
        <v>39</v>
      </c>
      <c r="J70" s="41">
        <f>SUM(D70:G70)</f>
        <v>31.799999999999997</v>
      </c>
      <c r="K70" s="42">
        <f ca="1">SUM(H70*J70)</f>
        <v>1278.3599999999997</v>
      </c>
    </row>
    <row r="71" spans="1:11">
      <c r="A71" s="25">
        <v>1</v>
      </c>
      <c r="B71" s="25">
        <v>6.2</v>
      </c>
      <c r="C71" s="344">
        <f t="shared" si="0"/>
        <v>6.2</v>
      </c>
      <c r="E71" s="348"/>
      <c r="F71" s="348"/>
      <c r="G71" s="348"/>
      <c r="H71" s="5"/>
      <c r="I71" s="70"/>
      <c r="J71" s="3"/>
      <c r="K71" s="10"/>
    </row>
    <row r="72" spans="1:11">
      <c r="A72" s="25">
        <v>1</v>
      </c>
      <c r="B72" s="25">
        <v>3</v>
      </c>
      <c r="C72" s="344">
        <f t="shared" si="0"/>
        <v>3</v>
      </c>
      <c r="E72" s="348"/>
      <c r="F72" s="348"/>
      <c r="G72" s="348"/>
      <c r="H72" s="5"/>
      <c r="I72" s="70"/>
      <c r="J72" s="3"/>
      <c r="K72" s="10"/>
    </row>
    <row r="73" spans="1:11">
      <c r="A73" s="25">
        <v>1</v>
      </c>
      <c r="B73" s="25">
        <v>5.7</v>
      </c>
      <c r="C73" s="344">
        <f t="shared" si="0"/>
        <v>5.7</v>
      </c>
      <c r="E73" s="348"/>
      <c r="F73" s="348"/>
      <c r="G73" s="348"/>
      <c r="H73" s="5"/>
      <c r="I73" s="70"/>
      <c r="J73" s="3"/>
      <c r="K73" s="10"/>
    </row>
    <row r="74" spans="1:11" ht="15.75" thickBot="1">
      <c r="A74" s="25">
        <v>1</v>
      </c>
      <c r="B74" s="25">
        <v>5.8</v>
      </c>
      <c r="C74" s="344">
        <f t="shared" si="0"/>
        <v>5.8</v>
      </c>
      <c r="E74" s="348"/>
      <c r="F74" s="348"/>
      <c r="G74" s="348"/>
      <c r="H74" s="5"/>
      <c r="I74" s="70"/>
      <c r="J74" s="3"/>
      <c r="K74" s="10"/>
    </row>
    <row r="75" spans="1:11" ht="15.75" thickBot="1">
      <c r="A75" s="180"/>
      <c r="B75" s="179"/>
      <c r="C75" s="121">
        <f ca="1">SUM(C68:(OFFSET(C75,-1,0)))</f>
        <v>40.199999999999996</v>
      </c>
      <c r="E75" s="348"/>
      <c r="F75" s="348"/>
      <c r="G75" s="348"/>
      <c r="H75" s="5"/>
      <c r="I75" s="70"/>
      <c r="J75" s="3"/>
      <c r="K75" s="10"/>
    </row>
    <row r="76" spans="1:11">
      <c r="A76" s="3"/>
      <c r="B76" s="3"/>
      <c r="C76" s="93"/>
      <c r="D76" s="8"/>
      <c r="E76" s="189"/>
      <c r="F76" s="189"/>
      <c r="G76" s="189"/>
      <c r="H76" s="5"/>
      <c r="I76" s="70"/>
      <c r="J76" s="3"/>
      <c r="K76" s="10"/>
    </row>
    <row r="77" spans="1:11">
      <c r="A77" s="66"/>
      <c r="B77" s="66"/>
      <c r="C77" s="201"/>
      <c r="D77" s="8"/>
      <c r="E77" s="189"/>
      <c r="F77" s="189"/>
      <c r="G77" s="189"/>
      <c r="H77" s="5"/>
      <c r="I77" s="70"/>
      <c r="J77" s="3"/>
      <c r="K77" s="10"/>
    </row>
    <row r="78" spans="1:11" ht="15.75" thickBot="1">
      <c r="A78" s="27">
        <v>1</v>
      </c>
      <c r="B78" s="27">
        <v>25</v>
      </c>
      <c r="C78" s="118">
        <f>A78*B78</f>
        <v>25</v>
      </c>
      <c r="D78" s="448" t="s">
        <v>101</v>
      </c>
      <c r="E78" s="449"/>
      <c r="F78" s="449"/>
      <c r="G78" s="450"/>
    </row>
    <row r="79" spans="1:11" ht="15.75" thickBot="1">
      <c r="A79" s="180"/>
      <c r="B79" s="179"/>
      <c r="C79" s="121">
        <f ca="1">SUM(C78:(OFFSET(C79,-1,0)))</f>
        <v>25</v>
      </c>
      <c r="D79" s="451"/>
      <c r="E79" s="452"/>
      <c r="F79" s="452"/>
      <c r="G79" s="453"/>
    </row>
    <row r="80" spans="1:11">
      <c r="D80" s="451"/>
      <c r="E80" s="452"/>
      <c r="F80" s="452"/>
      <c r="G80" s="453"/>
    </row>
    <row r="81" spans="4:11">
      <c r="D81" s="454"/>
      <c r="E81" s="455"/>
      <c r="F81" s="455"/>
      <c r="G81" s="456"/>
    </row>
    <row r="82" spans="4:11">
      <c r="D82" s="36">
        <v>0</v>
      </c>
      <c r="E82" s="31">
        <v>0</v>
      </c>
      <c r="F82" s="31">
        <v>0</v>
      </c>
      <c r="G82" s="31">
        <v>50</v>
      </c>
      <c r="H82" s="25">
        <f ca="1">$C79</f>
        <v>25</v>
      </c>
      <c r="I82" s="30" t="s">
        <v>39</v>
      </c>
      <c r="J82" s="41">
        <f>SUM(D82:G82)</f>
        <v>50</v>
      </c>
      <c r="K82" s="42">
        <f ca="1">SUM(H82*J82)</f>
        <v>1250</v>
      </c>
    </row>
    <row r="85" spans="4:11" ht="15" customHeight="1">
      <c r="E85" s="346"/>
      <c r="F85" s="346"/>
      <c r="G85" s="346"/>
    </row>
    <row r="86" spans="4:11" ht="15" customHeight="1">
      <c r="E86" s="346"/>
      <c r="F86" s="346"/>
      <c r="G86" s="346"/>
    </row>
    <row r="87" spans="4:11">
      <c r="E87" s="346"/>
      <c r="F87" s="346"/>
      <c r="G87" s="346"/>
    </row>
    <row r="88" spans="4:11">
      <c r="E88" s="346"/>
      <c r="F88" s="346"/>
      <c r="G88" s="346"/>
    </row>
    <row r="89" spans="4:11">
      <c r="E89" s="346"/>
      <c r="F89" s="346"/>
      <c r="G89" s="346"/>
    </row>
    <row r="90" spans="4:11">
      <c r="E90" s="346"/>
      <c r="F90" s="346"/>
      <c r="G90" s="346"/>
    </row>
    <row r="91" spans="4:11">
      <c r="E91" s="346"/>
      <c r="F91" s="346"/>
      <c r="G91" s="346"/>
    </row>
    <row r="92" spans="4:11">
      <c r="E92" s="346"/>
      <c r="F92" s="346"/>
      <c r="G92" s="346"/>
    </row>
    <row r="93" spans="4:11">
      <c r="E93" s="346"/>
      <c r="F93" s="346"/>
      <c r="G93" s="346"/>
    </row>
    <row r="94" spans="4:11">
      <c r="E94" s="346"/>
      <c r="F94" s="346"/>
      <c r="G94" s="346"/>
    </row>
    <row r="95" spans="4:11">
      <c r="E95" s="346"/>
      <c r="F95" s="346"/>
      <c r="G95" s="346"/>
    </row>
    <row r="96" spans="4:11">
      <c r="E96" s="346"/>
      <c r="F96" s="346"/>
      <c r="G96" s="346"/>
    </row>
    <row r="97" spans="5:7">
      <c r="E97" s="346"/>
      <c r="F97" s="346"/>
      <c r="G97" s="346"/>
    </row>
    <row r="98" spans="5:7">
      <c r="E98" s="346"/>
      <c r="F98" s="346"/>
      <c r="G98" s="346"/>
    </row>
    <row r="99" spans="5:7">
      <c r="E99" s="346"/>
      <c r="F99" s="346"/>
      <c r="G99" s="346"/>
    </row>
    <row r="100" spans="5:7">
      <c r="E100" s="346"/>
      <c r="F100" s="346"/>
      <c r="G100" s="346"/>
    </row>
    <row r="101" spans="5:7">
      <c r="E101" s="346"/>
      <c r="F101" s="346"/>
      <c r="G101" s="346"/>
    </row>
    <row r="102" spans="5:7">
      <c r="E102" s="346"/>
      <c r="F102" s="346"/>
      <c r="G102" s="346"/>
    </row>
    <row r="103" spans="5:7">
      <c r="E103" s="346"/>
      <c r="F103" s="346"/>
      <c r="G103" s="346"/>
    </row>
    <row r="104" spans="5:7">
      <c r="E104" s="346"/>
      <c r="F104" s="346"/>
      <c r="G104" s="346"/>
    </row>
    <row r="105" spans="5:7">
      <c r="E105" s="346"/>
      <c r="F105" s="346"/>
      <c r="G105" s="346"/>
    </row>
    <row r="106" spans="5:7">
      <c r="E106" s="346"/>
      <c r="F106" s="346"/>
      <c r="G106" s="346"/>
    </row>
    <row r="107" spans="5:7">
      <c r="E107" s="346"/>
      <c r="F107" s="346"/>
      <c r="G107" s="346"/>
    </row>
    <row r="108" spans="5:7" ht="15" customHeight="1">
      <c r="E108" s="346"/>
      <c r="F108" s="346"/>
      <c r="G108" s="346"/>
    </row>
    <row r="109" spans="5:7">
      <c r="E109" s="346"/>
      <c r="F109" s="346"/>
      <c r="G109" s="346"/>
    </row>
    <row r="110" spans="5:7">
      <c r="E110" s="346"/>
      <c r="F110" s="346"/>
      <c r="G110" s="346"/>
    </row>
    <row r="111" spans="5:7">
      <c r="E111" s="346"/>
      <c r="F111" s="346"/>
      <c r="G111" s="346"/>
    </row>
    <row r="112" spans="5:7">
      <c r="E112" s="346"/>
      <c r="F112" s="346"/>
      <c r="G112" s="346"/>
    </row>
    <row r="113" spans="2:11">
      <c r="E113" s="346"/>
      <c r="F113" s="346"/>
      <c r="G113" s="346"/>
    </row>
    <row r="114" spans="2:11">
      <c r="E114" s="346"/>
      <c r="F114" s="346"/>
      <c r="G114" s="346"/>
    </row>
    <row r="115" spans="2:11">
      <c r="E115" s="346"/>
      <c r="F115" s="346"/>
      <c r="G115" s="346"/>
    </row>
    <row r="116" spans="2:11">
      <c r="E116" s="346"/>
      <c r="F116" s="346"/>
      <c r="G116" s="346"/>
    </row>
    <row r="117" spans="2:11">
      <c r="E117" s="346"/>
      <c r="F117" s="346"/>
      <c r="G117" s="346"/>
    </row>
    <row r="118" spans="2:11" ht="15" customHeight="1">
      <c r="E118" s="346"/>
      <c r="F118" s="346"/>
      <c r="G118" s="346"/>
    </row>
    <row r="119" spans="2:11">
      <c r="E119" s="346"/>
      <c r="F119" s="346"/>
      <c r="G119" s="346"/>
    </row>
    <row r="120" spans="2:11">
      <c r="E120" s="346"/>
      <c r="F120" s="346"/>
      <c r="G120" s="346"/>
    </row>
    <row r="121" spans="2:11">
      <c r="E121" s="346"/>
      <c r="F121" s="346"/>
      <c r="G121" s="346"/>
    </row>
    <row r="124" spans="2:11" ht="15.75" thickBot="1"/>
    <row r="125" spans="2:11" ht="17.25" thickTop="1" thickBot="1">
      <c r="B125" s="405" t="s">
        <v>36</v>
      </c>
      <c r="C125" s="406"/>
      <c r="D125" s="72">
        <f ca="1">SUMPRODUCT(D1:D124,$H1:$H124)</f>
        <v>2485.9577499999996</v>
      </c>
      <c r="E125" s="72">
        <f ca="1">SUMPRODUCT(E1:E124,$H1:$H124)</f>
        <v>1175.3334999999997</v>
      </c>
      <c r="F125" s="72">
        <f ca="1">SUMPRODUCT(F1:F124,$H1:$H124)</f>
        <v>4221.4955499999996</v>
      </c>
      <c r="G125" s="72">
        <f ca="1">SUMPRODUCT(G1:G124,$H1:$H124)</f>
        <v>1250</v>
      </c>
      <c r="H125" s="57">
        <f ca="1">SUM(D125:G125)</f>
        <v>9132.786799999998</v>
      </c>
      <c r="I125" s="54"/>
      <c r="J125" s="54"/>
      <c r="K125" s="56">
        <f ca="1">SUM(K1:K124)</f>
        <v>9132.786799999998</v>
      </c>
    </row>
    <row r="126" spans="2:11">
      <c r="B126" s="29"/>
      <c r="C126" s="14"/>
      <c r="E126" s="119"/>
      <c r="F126" s="119"/>
      <c r="G126" s="17"/>
      <c r="H126" s="4"/>
      <c r="I126" s="4"/>
      <c r="K126" s="58" t="str">
        <f ca="1">IF(H125=K125,"Correct")</f>
        <v>Correct</v>
      </c>
    </row>
  </sheetData>
  <sheetProtection sheet="1" objects="1" scenarios="1" selectLockedCells="1" selectUnlockedCells="1"/>
  <mergeCells count="38">
    <mergeCell ref="D5:G6"/>
    <mergeCell ref="C5:C6"/>
    <mergeCell ref="C7:C8"/>
    <mergeCell ref="E11:F11"/>
    <mergeCell ref="D12:G12"/>
    <mergeCell ref="C9:C10"/>
    <mergeCell ref="C11:C12"/>
    <mergeCell ref="K2:K3"/>
    <mergeCell ref="B2:C3"/>
    <mergeCell ref="A2:A3"/>
    <mergeCell ref="H2:H3"/>
    <mergeCell ref="I2:I3"/>
    <mergeCell ref="J2:J3"/>
    <mergeCell ref="D2:G2"/>
    <mergeCell ref="D78:G81"/>
    <mergeCell ref="B125:C125"/>
    <mergeCell ref="E17:F17"/>
    <mergeCell ref="E24:F24"/>
    <mergeCell ref="D25:G25"/>
    <mergeCell ref="E30:F30"/>
    <mergeCell ref="D68:G69"/>
    <mergeCell ref="D18:G19"/>
    <mergeCell ref="C13:C14"/>
    <mergeCell ref="C40:C41"/>
    <mergeCell ref="C42:C43"/>
    <mergeCell ref="E61:F61"/>
    <mergeCell ref="D62:G62"/>
    <mergeCell ref="D31:G31"/>
    <mergeCell ref="E32:G32"/>
    <mergeCell ref="C38:C39"/>
    <mergeCell ref="E42:F42"/>
    <mergeCell ref="D43:G43"/>
    <mergeCell ref="C36:C37"/>
    <mergeCell ref="D36:G37"/>
    <mergeCell ref="E48:F48"/>
    <mergeCell ref="E55:F55"/>
    <mergeCell ref="D56:G56"/>
    <mergeCell ref="D49:G50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 Ltd&amp;C&amp;P of &amp;N&amp;R&amp;A</oddFooter>
  </headerFooter>
  <drawing r:id="rId2"/>
  <legacyDrawingHF r:id="rId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53"/>
  <dimension ref="A1:K233"/>
  <sheetViews>
    <sheetView view="pageLayout" workbookViewId="0">
      <selection activeCell="E24" sqref="E24"/>
    </sheetView>
  </sheetViews>
  <sheetFormatPr defaultRowHeight="15"/>
  <cols>
    <col min="1" max="1" width="10.5703125" style="29" customWidth="1"/>
    <col min="2" max="2" width="10.5703125" style="13" customWidth="1"/>
    <col min="3" max="3" width="10.5703125" style="45" customWidth="1"/>
    <col min="4" max="4" width="9.42578125" style="9" bestFit="1" customWidth="1"/>
    <col min="5" max="5" width="9.28515625" style="188" customWidth="1"/>
    <col min="6" max="6" width="9.5703125" style="188" bestFit="1" customWidth="1"/>
    <col min="7" max="7" width="9.28515625" style="188" customWidth="1"/>
    <col min="8" max="8" width="10.5703125" style="51" customWidth="1"/>
    <col min="9" max="9" width="5.140625" style="51" customWidth="1"/>
    <col min="10" max="10" width="10.5703125" style="4" customWidth="1"/>
    <col min="11" max="11" width="12" style="11" bestFit="1" customWidth="1"/>
  </cols>
  <sheetData>
    <row r="1" spans="1:11">
      <c r="A1" s="111" t="s">
        <v>230</v>
      </c>
      <c r="B1" s="60"/>
      <c r="C1" s="112"/>
      <c r="D1" s="185"/>
      <c r="E1" s="185"/>
      <c r="F1" s="185"/>
      <c r="G1" s="185"/>
      <c r="H1" s="106"/>
      <c r="I1" s="106"/>
      <c r="J1" s="106"/>
      <c r="K1" s="61"/>
    </row>
    <row r="2" spans="1:11" s="1" customFormat="1">
      <c r="A2" s="421" t="s">
        <v>0</v>
      </c>
      <c r="B2" s="421" t="s">
        <v>1</v>
      </c>
      <c r="C2" s="433"/>
      <c r="D2" s="432" t="s">
        <v>2</v>
      </c>
      <c r="E2" s="425"/>
      <c r="F2" s="425"/>
      <c r="G2" s="433"/>
      <c r="H2" s="423" t="s">
        <v>6</v>
      </c>
      <c r="I2" s="423" t="s">
        <v>7</v>
      </c>
      <c r="J2" s="430" t="s">
        <v>8</v>
      </c>
      <c r="K2" s="434" t="s">
        <v>9</v>
      </c>
    </row>
    <row r="3" spans="1:11" s="6" customFormat="1">
      <c r="A3" s="422"/>
      <c r="B3" s="422"/>
      <c r="C3" s="461"/>
      <c r="D3" s="7" t="s">
        <v>3</v>
      </c>
      <c r="E3" s="186" t="s">
        <v>4</v>
      </c>
      <c r="F3" s="186" t="s">
        <v>5</v>
      </c>
      <c r="G3" s="186" t="s">
        <v>45</v>
      </c>
      <c r="H3" s="424"/>
      <c r="I3" s="424"/>
      <c r="J3" s="431"/>
      <c r="K3" s="435"/>
    </row>
    <row r="5" spans="1:11">
      <c r="A5" s="59">
        <v>1</v>
      </c>
      <c r="B5" s="59">
        <v>18</v>
      </c>
      <c r="C5" s="187">
        <f>A5*B5</f>
        <v>18</v>
      </c>
      <c r="D5" s="448" t="s">
        <v>212</v>
      </c>
      <c r="E5" s="449"/>
      <c r="F5" s="449"/>
      <c r="G5" s="450"/>
    </row>
    <row r="6" spans="1:11">
      <c r="A6" s="59">
        <v>1</v>
      </c>
      <c r="B6" s="59">
        <v>19.5</v>
      </c>
      <c r="C6" s="187">
        <f>A6*B6</f>
        <v>19.5</v>
      </c>
      <c r="D6" s="451"/>
      <c r="E6" s="452"/>
      <c r="F6" s="452"/>
      <c r="G6" s="453"/>
    </row>
    <row r="7" spans="1:11">
      <c r="A7" s="41">
        <v>1</v>
      </c>
      <c r="B7" s="41">
        <v>14</v>
      </c>
      <c r="C7" s="183">
        <f>A7*B7</f>
        <v>14</v>
      </c>
      <c r="D7" s="451"/>
      <c r="E7" s="452"/>
      <c r="F7" s="452"/>
      <c r="G7" s="453"/>
    </row>
    <row r="8" spans="1:11" ht="15.75" customHeight="1" thickBot="1">
      <c r="A8" s="59">
        <v>1</v>
      </c>
      <c r="B8" s="59">
        <v>5</v>
      </c>
      <c r="C8" s="187">
        <f>A8*B8</f>
        <v>5</v>
      </c>
      <c r="D8" s="451"/>
      <c r="E8" s="452"/>
      <c r="F8" s="452"/>
      <c r="G8" s="453"/>
    </row>
    <row r="9" spans="1:11" ht="15.75" thickBot="1">
      <c r="A9" s="55"/>
      <c r="B9" s="179"/>
      <c r="C9" s="123">
        <f>SUM(C5:C8)</f>
        <v>56.5</v>
      </c>
      <c r="D9" s="34">
        <f>SUM((((H9*0.6*0.75)/'Plant Analysis'!B20)*'Labour Analysis'!E22)/H9)</f>
        <v>2.1749999999999998</v>
      </c>
      <c r="E9" s="34">
        <f>SUM((((H9*0.6*0.75)/'Plant Analysis'!B20)*'Plant Analysis'!E18)/H9)</f>
        <v>3.75</v>
      </c>
      <c r="F9" s="34">
        <v>0</v>
      </c>
      <c r="G9" s="34">
        <v>0</v>
      </c>
      <c r="H9" s="27">
        <f>$C9</f>
        <v>56.5</v>
      </c>
      <c r="I9" s="50" t="s">
        <v>39</v>
      </c>
      <c r="J9" s="59">
        <f>SUM(D9:G9)</f>
        <v>5.9249999999999998</v>
      </c>
      <c r="K9" s="49">
        <f>J9*H9</f>
        <v>334.76249999999999</v>
      </c>
    </row>
    <row r="10" spans="1:11">
      <c r="B10" s="29"/>
      <c r="C10" s="75"/>
      <c r="E10" s="244"/>
      <c r="F10" s="244"/>
      <c r="G10" s="244"/>
    </row>
    <row r="11" spans="1:11">
      <c r="E11" s="244"/>
      <c r="F11" s="244"/>
      <c r="G11" s="244"/>
    </row>
    <row r="12" spans="1:11" ht="15.75" customHeight="1" thickBot="1">
      <c r="A12" s="59">
        <v>1</v>
      </c>
      <c r="B12" s="59">
        <v>18</v>
      </c>
      <c r="C12" s="187">
        <f>A12*B12</f>
        <v>18</v>
      </c>
      <c r="D12" s="448" t="s">
        <v>214</v>
      </c>
      <c r="E12" s="449"/>
      <c r="F12" s="449"/>
      <c r="G12" s="450"/>
    </row>
    <row r="13" spans="1:11" ht="15.75" thickBot="1">
      <c r="A13" s="55"/>
      <c r="B13" s="179"/>
      <c r="C13" s="123">
        <f>SUM(C12:C12)</f>
        <v>18</v>
      </c>
      <c r="D13" s="39">
        <f>'Labour Analysis'!$E$24*0.078</f>
        <v>2.496</v>
      </c>
      <c r="E13" s="34">
        <v>0</v>
      </c>
      <c r="F13" s="34">
        <v>2.5</v>
      </c>
      <c r="G13" s="34">
        <v>0</v>
      </c>
      <c r="H13" s="27">
        <f>$C13</f>
        <v>18</v>
      </c>
      <c r="I13" s="50" t="s">
        <v>39</v>
      </c>
      <c r="J13" s="59">
        <f>SUM(D13:G13)</f>
        <v>4.9960000000000004</v>
      </c>
      <c r="K13" s="49">
        <f>J13*H13</f>
        <v>89.928000000000011</v>
      </c>
    </row>
    <row r="14" spans="1:11">
      <c r="H14" s="13"/>
      <c r="I14" s="4"/>
      <c r="J14" s="29"/>
      <c r="K14" s="196"/>
    </row>
    <row r="15" spans="1:11">
      <c r="B15" s="197"/>
      <c r="C15" s="198"/>
      <c r="I15" s="4"/>
      <c r="K15" s="196"/>
    </row>
    <row r="16" spans="1:11" ht="15.75" customHeight="1" thickBot="1">
      <c r="A16" s="59">
        <v>1</v>
      </c>
      <c r="B16" s="59">
        <v>19.5</v>
      </c>
      <c r="C16" s="187">
        <f>A16*B16</f>
        <v>19.5</v>
      </c>
      <c r="D16" s="448" t="s">
        <v>215</v>
      </c>
      <c r="E16" s="449"/>
      <c r="F16" s="449"/>
      <c r="G16" s="450"/>
    </row>
    <row r="17" spans="1:11" ht="15" customHeight="1" thickBot="1">
      <c r="A17" s="55"/>
      <c r="B17" s="179"/>
      <c r="C17" s="123">
        <f>SUM(C16:C16)</f>
        <v>19.5</v>
      </c>
      <c r="D17" s="39">
        <f>'Labour Analysis'!$E$24*0.078</f>
        <v>2.496</v>
      </c>
      <c r="E17" s="34">
        <v>0</v>
      </c>
      <c r="F17" s="34">
        <v>2.5</v>
      </c>
      <c r="G17" s="34">
        <v>0</v>
      </c>
      <c r="H17" s="27">
        <f>$C17</f>
        <v>19.5</v>
      </c>
      <c r="I17" s="50" t="s">
        <v>39</v>
      </c>
      <c r="J17" s="59">
        <f>SUM(D17:G17)</f>
        <v>4.9960000000000004</v>
      </c>
      <c r="K17" s="49">
        <f>J17*H17</f>
        <v>97.422000000000011</v>
      </c>
    </row>
    <row r="18" spans="1:11">
      <c r="H18" s="13"/>
      <c r="I18" s="4"/>
      <c r="J18" s="29"/>
      <c r="K18" s="196"/>
    </row>
    <row r="19" spans="1:11" ht="15" customHeight="1">
      <c r="B19" s="29"/>
      <c r="C19" s="75"/>
      <c r="H19" s="13"/>
      <c r="I19" s="4"/>
      <c r="J19" s="29"/>
      <c r="K19" s="196"/>
    </row>
    <row r="20" spans="1:11" ht="15.75" customHeight="1">
      <c r="A20" s="41">
        <v>1</v>
      </c>
      <c r="B20" s="41">
        <v>2</v>
      </c>
      <c r="C20" s="447">
        <f>A20*(B20*B21)</f>
        <v>3</v>
      </c>
      <c r="D20" s="448" t="s">
        <v>218</v>
      </c>
      <c r="E20" s="449"/>
      <c r="F20" s="449"/>
      <c r="G20" s="450"/>
    </row>
    <row r="21" spans="1:11" ht="15" customHeight="1" thickBot="1">
      <c r="A21" s="41"/>
      <c r="B21" s="41">
        <v>1.5</v>
      </c>
      <c r="C21" s="447"/>
      <c r="D21" s="451"/>
      <c r="E21" s="452"/>
      <c r="F21" s="452"/>
      <c r="G21" s="453"/>
    </row>
    <row r="22" spans="1:11" ht="15" customHeight="1" thickBot="1">
      <c r="B22" s="29"/>
      <c r="C22" s="121">
        <f ca="1">SUM(C20:(OFFSET(C22,-1,0)))</f>
        <v>3</v>
      </c>
      <c r="D22" s="342"/>
      <c r="E22" s="98" t="s">
        <v>17</v>
      </c>
      <c r="F22" s="99" t="s">
        <v>18</v>
      </c>
      <c r="G22" s="343"/>
    </row>
    <row r="23" spans="1:11">
      <c r="D23" s="39"/>
      <c r="E23" s="34">
        <v>300</v>
      </c>
      <c r="F23" s="34">
        <f ca="1">SUM($C22*(E23/1000))</f>
        <v>0.89999999999999991</v>
      </c>
      <c r="G23" s="34"/>
    </row>
    <row r="24" spans="1:11" ht="15" customHeight="1">
      <c r="D24" s="36">
        <f ca="1">SUM(((H24/'Plant Analysis'!$B$20)*'Labour Analysis'!$E$22)/H24)</f>
        <v>4.833333333333333</v>
      </c>
      <c r="E24" s="31">
        <f ca="1">SUM(((H24/'Plant Analysis'!$B$20)*'Plant Analysis'!$E$18)/H24)</f>
        <v>8.3333333333333339</v>
      </c>
      <c r="F24" s="31">
        <v>0</v>
      </c>
      <c r="G24" s="31">
        <v>0</v>
      </c>
      <c r="H24" s="27">
        <f ca="1">$F23</f>
        <v>0.89999999999999991</v>
      </c>
      <c r="I24" s="50" t="s">
        <v>19</v>
      </c>
      <c r="J24" s="59">
        <f ca="1">SUM(D24:G24)</f>
        <v>13.166666666666668</v>
      </c>
      <c r="K24" s="49">
        <f ca="1">J24*H24</f>
        <v>11.85</v>
      </c>
    </row>
    <row r="25" spans="1:11" ht="15.75" customHeight="1">
      <c r="E25" s="346"/>
      <c r="F25" s="346"/>
      <c r="G25" s="346"/>
    </row>
    <row r="26" spans="1:11" ht="15.75" customHeight="1">
      <c r="D26" s="8"/>
      <c r="E26" s="499" t="s">
        <v>37</v>
      </c>
      <c r="F26" s="499"/>
      <c r="G26" s="348"/>
      <c r="H26" s="70"/>
      <c r="I26" s="70"/>
      <c r="J26" s="2"/>
      <c r="K26" s="10"/>
    </row>
    <row r="27" spans="1:11" ht="15" customHeight="1">
      <c r="D27" s="408" t="s">
        <v>20</v>
      </c>
      <c r="E27" s="409"/>
      <c r="F27" s="409"/>
      <c r="G27" s="409"/>
      <c r="H27" s="2"/>
      <c r="I27" s="2"/>
      <c r="J27" s="2"/>
      <c r="K27" s="10"/>
    </row>
    <row r="28" spans="1:11">
      <c r="A28" s="3"/>
      <c r="B28" s="5"/>
      <c r="C28" s="62"/>
      <c r="D28" s="342"/>
      <c r="E28" s="98" t="s">
        <v>17</v>
      </c>
      <c r="F28" s="99" t="s">
        <v>18</v>
      </c>
      <c r="G28" s="343"/>
      <c r="H28" s="2"/>
      <c r="I28" s="2"/>
      <c r="J28" s="2"/>
      <c r="K28" s="10"/>
    </row>
    <row r="29" spans="1:11" ht="15" customHeight="1">
      <c r="A29" s="3"/>
      <c r="B29" s="5"/>
      <c r="C29" s="62"/>
      <c r="D29" s="39"/>
      <c r="E29" s="34">
        <f>E23</f>
        <v>300</v>
      </c>
      <c r="F29" s="34">
        <f ca="1">SUM($C22*(E29/1000))</f>
        <v>0.89999999999999991</v>
      </c>
      <c r="G29" s="34"/>
      <c r="H29" s="2"/>
      <c r="I29" s="2"/>
      <c r="J29" s="2"/>
      <c r="K29" s="10"/>
    </row>
    <row r="30" spans="1:11" ht="15" customHeight="1">
      <c r="A30" s="3"/>
      <c r="B30" s="5"/>
      <c r="C30" s="62"/>
      <c r="D30" s="36">
        <v>0</v>
      </c>
      <c r="E30" s="31">
        <f ca="1">SUM((((H30*1.6)/'Plant Analysis'!$B$33)*'Plant Analysis'!$B$32)/H30)</f>
        <v>24</v>
      </c>
      <c r="F30" s="31">
        <v>0</v>
      </c>
      <c r="G30" s="31">
        <v>0</v>
      </c>
      <c r="H30" s="25">
        <f ca="1">F29</f>
        <v>0.89999999999999991</v>
      </c>
      <c r="I30" s="30" t="s">
        <v>19</v>
      </c>
      <c r="J30" s="41">
        <f ca="1">SUM(D30:G30)</f>
        <v>24</v>
      </c>
      <c r="K30" s="42">
        <f ca="1">SUM(H30*J30)</f>
        <v>21.599999999999998</v>
      </c>
    </row>
    <row r="31" spans="1:11" ht="15" customHeight="1">
      <c r="E31" s="346"/>
      <c r="F31" s="346"/>
      <c r="G31" s="346"/>
    </row>
    <row r="32" spans="1:11">
      <c r="A32" s="3"/>
      <c r="B32" s="5"/>
      <c r="C32" s="62"/>
      <c r="E32" s="420" t="s">
        <v>37</v>
      </c>
      <c r="F32" s="420"/>
      <c r="G32" s="346"/>
    </row>
    <row r="33" spans="1:11">
      <c r="A33" s="3"/>
      <c r="B33" s="5"/>
      <c r="C33" s="62"/>
      <c r="D33" s="408" t="s">
        <v>460</v>
      </c>
      <c r="E33" s="409"/>
      <c r="F33" s="409"/>
      <c r="G33" s="409"/>
      <c r="H33" s="4"/>
      <c r="I33" s="4"/>
    </row>
    <row r="34" spans="1:11" ht="15.75" customHeight="1">
      <c r="A34" s="3"/>
      <c r="B34" s="5"/>
      <c r="C34" s="62"/>
      <c r="D34" s="408"/>
      <c r="E34" s="409"/>
      <c r="F34" s="409"/>
      <c r="G34" s="409"/>
      <c r="H34" s="4"/>
      <c r="I34" s="4"/>
    </row>
    <row r="35" spans="1:11" ht="15" customHeight="1">
      <c r="A35" s="3"/>
      <c r="B35" s="5"/>
      <c r="C35" s="62"/>
      <c r="D35" s="37"/>
      <c r="E35" s="32" t="s">
        <v>17</v>
      </c>
      <c r="F35" s="35" t="s">
        <v>241</v>
      </c>
      <c r="G35" s="34"/>
      <c r="H35" s="4"/>
      <c r="I35" s="4"/>
    </row>
    <row r="36" spans="1:11">
      <c r="A36" s="3"/>
      <c r="B36" s="5"/>
      <c r="C36" s="62"/>
      <c r="D36" s="38"/>
      <c r="E36" s="33">
        <v>150</v>
      </c>
      <c r="F36" s="34">
        <f ca="1">SUM(C22*(E36/1000))</f>
        <v>0.44999999999999996</v>
      </c>
      <c r="G36" s="34"/>
      <c r="H36" s="4"/>
      <c r="I36" s="4"/>
    </row>
    <row r="37" spans="1:11">
      <c r="D37" s="39">
        <f>'Labour Analysis'!E24*1</f>
        <v>32</v>
      </c>
      <c r="E37" s="34">
        <v>0</v>
      </c>
      <c r="F37" s="34">
        <f>'Material Analysis'!I5</f>
        <v>75.599999999999994</v>
      </c>
      <c r="G37" s="34">
        <v>0</v>
      </c>
      <c r="H37" s="27">
        <f ca="1">F36</f>
        <v>0.44999999999999996</v>
      </c>
      <c r="I37" s="30" t="s">
        <v>340</v>
      </c>
      <c r="J37" s="41">
        <f>SUM(D37:G37)</f>
        <v>107.6</v>
      </c>
      <c r="K37" s="42">
        <f ca="1">SUM(H37*J37)</f>
        <v>48.419999999999995</v>
      </c>
    </row>
    <row r="38" spans="1:11">
      <c r="E38" s="346"/>
      <c r="F38" s="346"/>
      <c r="G38" s="346"/>
    </row>
    <row r="39" spans="1:11" ht="15.75" customHeight="1">
      <c r="E39" s="420" t="s">
        <v>37</v>
      </c>
      <c r="F39" s="420"/>
      <c r="G39" s="346"/>
    </row>
    <row r="40" spans="1:11">
      <c r="D40" s="448" t="s">
        <v>863</v>
      </c>
      <c r="E40" s="449"/>
      <c r="F40" s="449"/>
      <c r="G40" s="450"/>
    </row>
    <row r="41" spans="1:11">
      <c r="D41" s="37"/>
      <c r="E41" s="32" t="s">
        <v>17</v>
      </c>
      <c r="F41" s="35" t="s">
        <v>241</v>
      </c>
      <c r="G41" s="34"/>
    </row>
    <row r="42" spans="1:11">
      <c r="D42" s="38"/>
      <c r="E42" s="33">
        <v>150</v>
      </c>
      <c r="F42" s="34">
        <f ca="1">SUM(C22*(E42/1000))</f>
        <v>0.44999999999999996</v>
      </c>
      <c r="G42" s="34"/>
    </row>
    <row r="43" spans="1:11" ht="15.75" customHeight="1">
      <c r="D43" s="39">
        <f>'Labour Analysis'!$E$24*0.5</f>
        <v>16</v>
      </c>
      <c r="E43" s="31">
        <v>0</v>
      </c>
      <c r="F43" s="31">
        <f ca="1">'Material Analysis'!I7</f>
        <v>84</v>
      </c>
      <c r="G43" s="31">
        <v>0</v>
      </c>
      <c r="H43" s="27">
        <f ca="1">$F42</f>
        <v>0.44999999999999996</v>
      </c>
      <c r="I43" s="50" t="s">
        <v>19</v>
      </c>
      <c r="J43" s="59">
        <f ca="1">SUM(D43:G43)</f>
        <v>100</v>
      </c>
      <c r="K43" s="49">
        <f ca="1">J43*H43</f>
        <v>44.999999999999993</v>
      </c>
    </row>
    <row r="44" spans="1:11">
      <c r="E44" s="346"/>
      <c r="F44" s="346"/>
      <c r="G44" s="346"/>
    </row>
    <row r="45" spans="1:11" ht="15" customHeight="1">
      <c r="E45" s="346"/>
      <c r="F45" s="346"/>
      <c r="G45" s="346"/>
    </row>
    <row r="46" spans="1:11" ht="15" customHeight="1">
      <c r="A46" s="41">
        <v>2</v>
      </c>
      <c r="B46" s="41">
        <v>1.2</v>
      </c>
      <c r="C46" s="447">
        <f>A46*(B46*B47)</f>
        <v>1.44</v>
      </c>
      <c r="D46" s="448" t="s">
        <v>226</v>
      </c>
      <c r="E46" s="449"/>
      <c r="F46" s="449"/>
      <c r="G46" s="450"/>
      <c r="H46" s="4"/>
      <c r="I46" s="4"/>
    </row>
    <row r="47" spans="1:11" ht="15.75" thickBot="1">
      <c r="A47" s="41"/>
      <c r="B47" s="41">
        <v>0.6</v>
      </c>
      <c r="C47" s="447"/>
      <c r="D47" s="451"/>
      <c r="E47" s="452"/>
      <c r="F47" s="452"/>
      <c r="G47" s="453"/>
      <c r="H47" s="4"/>
      <c r="I47" s="4"/>
    </row>
    <row r="48" spans="1:11" ht="15.75" thickBot="1">
      <c r="B48" s="29"/>
      <c r="C48" s="121">
        <f ca="1">SUM(C46:(OFFSET(C48,-1,0)))</f>
        <v>1.44</v>
      </c>
      <c r="D48" s="247" t="s">
        <v>282</v>
      </c>
      <c r="E48" s="436" t="s">
        <v>292</v>
      </c>
      <c r="F48" s="437"/>
      <c r="G48" s="438"/>
      <c r="H48" s="4"/>
      <c r="I48" s="4"/>
    </row>
    <row r="49" spans="1:11">
      <c r="B49" s="29"/>
      <c r="C49" s="14"/>
      <c r="D49" s="246" t="s">
        <v>283</v>
      </c>
      <c r="E49" s="252">
        <f>'Material Analysis'!I13</f>
        <v>645</v>
      </c>
      <c r="F49" s="250" t="s">
        <v>281</v>
      </c>
      <c r="G49" s="251"/>
      <c r="H49" s="4"/>
      <c r="I49" s="4"/>
    </row>
    <row r="50" spans="1:11">
      <c r="B50" s="29"/>
      <c r="C50" s="14"/>
      <c r="D50" s="246" t="s">
        <v>284</v>
      </c>
      <c r="E50" s="252" t="s">
        <v>287</v>
      </c>
      <c r="F50" s="248" t="s">
        <v>285</v>
      </c>
      <c r="G50" s="254">
        <f>VLOOKUP(E50,OneBrickBond,2,0)</f>
        <v>120</v>
      </c>
      <c r="H50" s="4"/>
      <c r="I50" s="4"/>
    </row>
    <row r="51" spans="1:11" ht="17.25">
      <c r="B51" s="29"/>
      <c r="C51" s="14"/>
      <c r="D51" s="36">
        <f>SUM('Labour Analysis'!$B$37/(1000/G50))</f>
        <v>48</v>
      </c>
      <c r="E51" s="31">
        <v>0</v>
      </c>
      <c r="F51" s="31">
        <f>ROUNDUP(SUM((E49/(1000/G50)+4)),0)</f>
        <v>82</v>
      </c>
      <c r="G51" s="31">
        <v>0</v>
      </c>
      <c r="H51" s="25">
        <f ca="1">C48</f>
        <v>1.44</v>
      </c>
      <c r="I51" s="25" t="s">
        <v>13</v>
      </c>
      <c r="J51" s="41">
        <f>SUM(D51:G51)</f>
        <v>130</v>
      </c>
      <c r="K51" s="42">
        <f ca="1">SUM(H51*J51)</f>
        <v>187.2</v>
      </c>
    </row>
    <row r="53" spans="1:11" ht="15" customHeight="1"/>
    <row r="54" spans="1:11" ht="15.75" thickBot="1">
      <c r="D54" s="448" t="s">
        <v>921</v>
      </c>
      <c r="E54" s="449"/>
      <c r="F54" s="449"/>
      <c r="G54" s="450"/>
    </row>
    <row r="55" spans="1:11" ht="15.75" thickBot="1">
      <c r="A55" s="25">
        <v>1</v>
      </c>
      <c r="B55" s="41">
        <v>1</v>
      </c>
      <c r="C55" s="43">
        <f>A55*B55</f>
        <v>1</v>
      </c>
      <c r="D55" s="39">
        <f>'Labour Analysis'!$E$24*2</f>
        <v>64</v>
      </c>
      <c r="E55" s="34">
        <f>'Plant Analysis'!E18</f>
        <v>25</v>
      </c>
      <c r="F55" s="34">
        <f>'Material Analysis'!I115</f>
        <v>650</v>
      </c>
      <c r="G55" s="34">
        <v>0</v>
      </c>
      <c r="H55" s="27">
        <f>$C55</f>
        <v>1</v>
      </c>
      <c r="I55" s="50" t="s">
        <v>44</v>
      </c>
      <c r="J55" s="59">
        <f>SUM(D55:G55)</f>
        <v>739</v>
      </c>
      <c r="K55" s="49">
        <f>J55*H55</f>
        <v>739</v>
      </c>
    </row>
    <row r="56" spans="1:11" ht="15" customHeight="1">
      <c r="E56" s="346"/>
      <c r="F56" s="346"/>
      <c r="G56" s="346"/>
    </row>
    <row r="57" spans="1:11">
      <c r="E57" s="346"/>
      <c r="F57" s="346"/>
      <c r="G57" s="346"/>
    </row>
    <row r="58" spans="1:11" ht="15" customHeight="1"/>
    <row r="60" spans="1:11" ht="15.75" thickBot="1"/>
    <row r="61" spans="1:11" ht="17.25" thickTop="1" thickBot="1">
      <c r="B61" s="506" t="s">
        <v>216</v>
      </c>
      <c r="C61" s="507"/>
      <c r="D61" s="148">
        <f ca="1">SUMPRODUCT(D1:D47,$H1:$H47)</f>
        <v>242.43749999999997</v>
      </c>
      <c r="E61" s="148">
        <f ca="1">SUMPRODUCT(E1:E47,$H1:$H47)</f>
        <v>240.97499999999999</v>
      </c>
      <c r="F61" s="148">
        <f ca="1">SUMPRODUCT(F1:F47,$H1:$H47)</f>
        <v>165.57</v>
      </c>
      <c r="G61" s="148">
        <f ca="1">SUMPRODUCT(G1:G47,$H1:$H47)</f>
        <v>0</v>
      </c>
      <c r="H61" s="57">
        <f ca="1">SUM(D61:G61)</f>
        <v>648.98249999999996</v>
      </c>
      <c r="I61" s="54"/>
      <c r="J61" s="199"/>
      <c r="K61" s="56">
        <f ca="1">SUM(K4:K47)</f>
        <v>648.98249999999996</v>
      </c>
    </row>
    <row r="62" spans="1:11" ht="15" customHeight="1">
      <c r="G62" s="17"/>
      <c r="H62" s="4"/>
      <c r="I62" s="4"/>
      <c r="K62" s="200" t="str">
        <f ca="1">IF(H61=K61,"Correct")</f>
        <v>Correct</v>
      </c>
    </row>
    <row r="63" spans="1:11" ht="15" customHeight="1"/>
    <row r="65" ht="15.75" customHeight="1"/>
    <row r="70" ht="15" customHeight="1"/>
    <row r="75" ht="15.75" customHeight="1"/>
    <row r="81" ht="15" customHeight="1"/>
    <row r="85" ht="15.75" customHeight="1"/>
    <row r="89" ht="15" customHeight="1"/>
    <row r="94" ht="15" customHeight="1"/>
    <row r="101" ht="15.75" customHeight="1"/>
    <row r="105" ht="15" customHeight="1"/>
    <row r="110" ht="15" customHeight="1"/>
    <row r="117" ht="15.75" customHeight="1"/>
    <row r="120" ht="15" customHeight="1"/>
    <row r="125" ht="15" customHeight="1"/>
    <row r="132" ht="15.75" customHeight="1"/>
    <row r="133" ht="15" customHeight="1"/>
    <row r="137" ht="15" customHeight="1"/>
    <row r="139" ht="15" customHeight="1"/>
    <row r="142" ht="15" customHeight="1"/>
    <row r="147" ht="16.5" customHeight="1"/>
    <row r="158" ht="15" customHeight="1"/>
    <row r="163" ht="15" customHeight="1"/>
    <row r="233" ht="15" customHeight="1"/>
  </sheetData>
  <sheetProtection sheet="1" objects="1" scenarios="1" selectLockedCells="1" selectUnlockedCells="1"/>
  <mergeCells count="23">
    <mergeCell ref="K2:K3"/>
    <mergeCell ref="D5:G8"/>
    <mergeCell ref="J2:J3"/>
    <mergeCell ref="A2:A3"/>
    <mergeCell ref="B2:C3"/>
    <mergeCell ref="D2:G2"/>
    <mergeCell ref="H2:H3"/>
    <mergeCell ref="I2:I3"/>
    <mergeCell ref="D16:G16"/>
    <mergeCell ref="B61:C61"/>
    <mergeCell ref="D12:G12"/>
    <mergeCell ref="D20:G21"/>
    <mergeCell ref="E32:F32"/>
    <mergeCell ref="D33:G34"/>
    <mergeCell ref="E39:F39"/>
    <mergeCell ref="D40:G40"/>
    <mergeCell ref="C20:C21"/>
    <mergeCell ref="D46:G47"/>
    <mergeCell ref="E48:G48"/>
    <mergeCell ref="C46:C47"/>
    <mergeCell ref="D54:G54"/>
    <mergeCell ref="E26:F26"/>
    <mergeCell ref="D27:G27"/>
  </mergeCells>
  <dataValidations count="1">
    <dataValidation type="list" allowBlank="1" showInputMessage="1" showErrorMessage="1" sqref="E50">
      <formula1>OneBond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horizontalDpi="4294967293" r:id="rId1"/>
  <headerFooter>
    <oddHeader>&amp;LBES: 07015&amp;R&amp;F</oddHeader>
    <oddFooter>&amp;L&amp;G B.E.S. Ltd&amp;C&amp;P of &amp;N&amp;R&amp;A</oddFooter>
  </headerFooter>
  <drawing r:id="rId2"/>
  <legacyDrawingHF r:id="rId3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54"/>
  <dimension ref="A1:K64"/>
  <sheetViews>
    <sheetView view="pageLayout" workbookViewId="0">
      <selection activeCell="A19" sqref="A19:XFD19"/>
    </sheetView>
  </sheetViews>
  <sheetFormatPr defaultRowHeight="15"/>
  <cols>
    <col min="1" max="1" width="9.85546875" style="13" customWidth="1"/>
    <col min="2" max="2" width="10.5703125" style="29" customWidth="1"/>
    <col min="3" max="3" width="11.140625" style="45" customWidth="1"/>
    <col min="4" max="4" width="9.28515625" style="9" bestFit="1" customWidth="1"/>
    <col min="5" max="5" width="9.28515625" style="119" customWidth="1"/>
    <col min="6" max="6" width="9.28515625" style="119" bestFit="1" customWidth="1"/>
    <col min="7" max="7" width="9.28515625" style="17" customWidth="1"/>
    <col min="8" max="8" width="10.5703125" style="4" customWidth="1"/>
    <col min="9" max="9" width="5.140625" style="4" customWidth="1"/>
    <col min="10" max="10" width="10.5703125" style="4" customWidth="1"/>
    <col min="11" max="11" width="11.140625" style="11" bestFit="1" customWidth="1"/>
  </cols>
  <sheetData>
    <row r="1" spans="1:11" s="128" customFormat="1" ht="30" customHeight="1">
      <c r="A1" s="160"/>
      <c r="B1" s="160"/>
      <c r="C1" s="160"/>
      <c r="D1" s="512" t="s">
        <v>103</v>
      </c>
      <c r="E1" s="512"/>
      <c r="F1" s="512"/>
      <c r="G1" s="512"/>
      <c r="H1" s="161"/>
      <c r="I1" s="161"/>
      <c r="J1" s="161"/>
      <c r="K1" s="130"/>
    </row>
    <row r="2" spans="1:11" s="6" customFormat="1" ht="30">
      <c r="A2" s="149"/>
      <c r="B2" s="412" t="s">
        <v>104</v>
      </c>
      <c r="C2" s="511"/>
      <c r="D2" s="116" t="s">
        <v>3</v>
      </c>
      <c r="E2" s="115" t="s">
        <v>4</v>
      </c>
      <c r="F2" s="115" t="s">
        <v>5</v>
      </c>
      <c r="G2" s="115" t="s">
        <v>102</v>
      </c>
      <c r="H2" s="150"/>
      <c r="I2" s="150"/>
      <c r="J2" s="150"/>
      <c r="K2" s="151" t="s">
        <v>9</v>
      </c>
    </row>
    <row r="3" spans="1:11">
      <c r="A3" s="5"/>
      <c r="B3" s="442"/>
      <c r="C3" s="511"/>
      <c r="D3" s="8"/>
      <c r="E3" s="12"/>
      <c r="F3" s="12"/>
      <c r="G3" s="15"/>
      <c r="H3" s="3"/>
      <c r="I3" s="2"/>
      <c r="J3" s="3"/>
      <c r="K3" s="10"/>
    </row>
    <row r="4" spans="1:11" ht="15" customHeight="1">
      <c r="A4" s="5"/>
      <c r="B4" s="510" t="s">
        <v>105</v>
      </c>
      <c r="C4" s="511"/>
      <c r="D4" s="36">
        <f>'Site set up &amp; demolitions'!D61</f>
        <v>100</v>
      </c>
      <c r="E4" s="31">
        <f>'Site set up &amp; demolitions'!E61</f>
        <v>0</v>
      </c>
      <c r="F4" s="31">
        <f>'Site set up &amp; demolitions'!F61</f>
        <v>100</v>
      </c>
      <c r="G4" s="31">
        <f>'Site set up &amp; demolitions'!G61</f>
        <v>0</v>
      </c>
      <c r="H4" s="2"/>
      <c r="I4" s="2"/>
      <c r="J4" s="212"/>
      <c r="K4" s="10">
        <f>'Site set up &amp; demolitions'!K61</f>
        <v>200</v>
      </c>
    </row>
    <row r="5" spans="1:11" ht="15" customHeight="1">
      <c r="A5" s="5"/>
      <c r="B5" s="510" t="s">
        <v>266</v>
      </c>
      <c r="C5" s="511"/>
      <c r="D5" s="36">
        <f ca="1">'Groundwork (Machine)'!D125</f>
        <v>1440.2928431250002</v>
      </c>
      <c r="E5" s="31">
        <f ca="1">'Groundwork (Machine)'!E125</f>
        <v>2738.4389812500003</v>
      </c>
      <c r="F5" s="31">
        <f ca="1">'Groundwork (Machine)'!F125</f>
        <v>3340.2809999999995</v>
      </c>
      <c r="G5" s="31">
        <f ca="1">'Groundwork (Machine)'!G125</f>
        <v>0</v>
      </c>
      <c r="H5" s="2"/>
      <c r="I5" s="2"/>
      <c r="J5" s="212"/>
      <c r="K5" s="10">
        <f ca="1">'Groundwork (Machine)'!K125</f>
        <v>7519.0128243749996</v>
      </c>
    </row>
    <row r="6" spans="1:11">
      <c r="A6" s="5"/>
      <c r="B6" s="510" t="s">
        <v>267</v>
      </c>
      <c r="C6" s="511"/>
      <c r="D6" s="36">
        <f ca="1">'Brickwork to DPC'!D62</f>
        <v>1820.2187500000002</v>
      </c>
      <c r="E6" s="31">
        <f ca="1">'Brickwork to DPC'!E62</f>
        <v>0</v>
      </c>
      <c r="F6" s="31">
        <f ca="1">'Brickwork to DPC'!F62</f>
        <v>2089.9225000000001</v>
      </c>
      <c r="G6" s="31">
        <f ca="1">'Brickwork to DPC'!G62</f>
        <v>0</v>
      </c>
      <c r="H6" s="2"/>
      <c r="I6" s="2"/>
      <c r="J6" s="212"/>
      <c r="K6" s="10">
        <f ca="1">'Brickwork to DPC'!K62</f>
        <v>3910.1412499999997</v>
      </c>
    </row>
    <row r="7" spans="1:11" ht="15" customHeight="1">
      <c r="A7" s="5"/>
      <c r="B7" s="510" t="s">
        <v>268</v>
      </c>
      <c r="C7" s="511"/>
      <c r="D7" s="36">
        <f ca="1">'Ground floor (Beam &amp; Block)'!D61</f>
        <v>725.12992499999996</v>
      </c>
      <c r="E7" s="31">
        <f ca="1">'Ground floor (Beam &amp; Block)'!E61</f>
        <v>0</v>
      </c>
      <c r="F7" s="31">
        <f ca="1">'Ground floor (Beam &amp; Block)'!F61</f>
        <v>2291.0264999999999</v>
      </c>
      <c r="G7" s="31">
        <f ca="1">'Ground floor (Beam &amp; Block)'!G61</f>
        <v>4125.8249999999998</v>
      </c>
      <c r="H7" s="2"/>
      <c r="I7" s="2"/>
      <c r="J7" s="212"/>
      <c r="K7" s="10">
        <f ca="1">'Ground floor (Beam &amp; Block)'!K61</f>
        <v>7141.9814250000009</v>
      </c>
    </row>
    <row r="8" spans="1:11">
      <c r="A8" s="5"/>
      <c r="B8" s="510" t="s">
        <v>269</v>
      </c>
      <c r="C8" s="511"/>
      <c r="D8" s="36">
        <f ca="1">'External walls (Brickwork)'!D124</f>
        <v>9888.1999999999989</v>
      </c>
      <c r="E8" s="31">
        <f ca="1">'External walls (Brickwork)'!E124</f>
        <v>0</v>
      </c>
      <c r="F8" s="31">
        <f ca="1">'External walls (Brickwork)'!F124</f>
        <v>16620.126999999997</v>
      </c>
      <c r="G8" s="31">
        <f ca="1">'External walls (Brickwork)'!G124</f>
        <v>0</v>
      </c>
      <c r="H8" s="2"/>
      <c r="I8" s="2"/>
      <c r="J8" s="212"/>
      <c r="K8" s="10">
        <f ca="1">'External walls (Brickwork)'!K124</f>
        <v>26508.32699999999</v>
      </c>
    </row>
    <row r="9" spans="1:11">
      <c r="A9" s="3"/>
      <c r="B9" s="510" t="s">
        <v>270</v>
      </c>
      <c r="C9" s="511"/>
      <c r="D9" s="36">
        <f>'Stone work'!D62</f>
        <v>174</v>
      </c>
      <c r="E9" s="31">
        <f>'Stone work'!E62</f>
        <v>0</v>
      </c>
      <c r="F9" s="31">
        <f>'Stone work'!F62</f>
        <v>1010</v>
      </c>
      <c r="G9" s="31">
        <f>'Stone work'!G62</f>
        <v>0</v>
      </c>
      <c r="H9" s="2"/>
      <c r="I9" s="2"/>
      <c r="J9" s="212"/>
      <c r="K9" s="10">
        <f>'Stone work'!K62</f>
        <v>1184</v>
      </c>
    </row>
    <row r="10" spans="1:11">
      <c r="A10" s="5"/>
      <c r="B10" s="510" t="s">
        <v>271</v>
      </c>
      <c r="C10" s="511"/>
      <c r="D10" s="36">
        <f>'Lintels &amp; steelwork'!D62</f>
        <v>226</v>
      </c>
      <c r="E10" s="31">
        <f>'Lintels &amp; steelwork'!E62</f>
        <v>0</v>
      </c>
      <c r="F10" s="31">
        <f>'Lintels &amp; steelwork'!F62</f>
        <v>2780</v>
      </c>
      <c r="G10" s="31">
        <f>'Lintels &amp; steelwork'!G62</f>
        <v>600</v>
      </c>
      <c r="H10" s="2"/>
      <c r="I10" s="2"/>
      <c r="J10" s="212"/>
      <c r="K10" s="10">
        <f>'Lintels &amp; steelwork'!K62</f>
        <v>3606</v>
      </c>
    </row>
    <row r="11" spans="1:11">
      <c r="B11" s="510" t="s">
        <v>54</v>
      </c>
      <c r="C11" s="511"/>
      <c r="D11" s="36">
        <f>'External Joinery'!D62</f>
        <v>0</v>
      </c>
      <c r="E11" s="31">
        <f>'External Joinery'!E62</f>
        <v>0</v>
      </c>
      <c r="F11" s="31">
        <f>'External Joinery'!F62</f>
        <v>0</v>
      </c>
      <c r="G11" s="31">
        <f>'External Joinery'!G62</f>
        <v>4242.375</v>
      </c>
      <c r="H11" s="2"/>
      <c r="I11" s="2"/>
      <c r="J11" s="212"/>
      <c r="K11" s="10">
        <f>'External Joinery'!K62</f>
        <v>4242.375</v>
      </c>
    </row>
    <row r="12" spans="1:11" ht="15" customHeight="1">
      <c r="B12" s="510" t="s">
        <v>272</v>
      </c>
      <c r="C12" s="511"/>
      <c r="D12" s="36">
        <f ca="1">'First-floor'!D61</f>
        <v>1620.0048812499999</v>
      </c>
      <c r="E12" s="31">
        <f ca="1">'First-floor'!E61</f>
        <v>0</v>
      </c>
      <c r="F12" s="31">
        <f ca="1">'First-floor'!F61</f>
        <v>2926.9550000000004</v>
      </c>
      <c r="G12" s="31">
        <f ca="1">'First-floor'!G61</f>
        <v>0</v>
      </c>
      <c r="H12" s="2"/>
      <c r="I12" s="2"/>
      <c r="J12" s="212"/>
      <c r="K12" s="10">
        <f ca="1">'First-floor'!K61</f>
        <v>4546.9598812499999</v>
      </c>
    </row>
    <row r="13" spans="1:11">
      <c r="B13" s="510" t="s">
        <v>273</v>
      </c>
      <c r="C13" s="511"/>
      <c r="D13" s="36">
        <f ca="1">'Roof Structure (Truss)'!D61</f>
        <v>871.899</v>
      </c>
      <c r="E13" s="31">
        <f ca="1">'Roof Structure (Truss)'!E61</f>
        <v>0</v>
      </c>
      <c r="F13" s="31">
        <f ca="1">'Roof Structure (Truss)'!F61</f>
        <v>2281.46</v>
      </c>
      <c r="G13" s="31">
        <f ca="1">'Roof Structure (Truss)'!G61</f>
        <v>0</v>
      </c>
      <c r="H13" s="2"/>
      <c r="I13" s="2"/>
      <c r="J13" s="212"/>
      <c r="K13" s="10">
        <f ca="1">'Roof Structure (Truss)'!K61</f>
        <v>3153.3589999999999</v>
      </c>
    </row>
    <row r="14" spans="1:11">
      <c r="B14" s="510" t="s">
        <v>274</v>
      </c>
      <c r="C14" s="511"/>
      <c r="D14" s="36">
        <f ca="1">'Roof Covers'!D62</f>
        <v>0</v>
      </c>
      <c r="E14" s="31">
        <f ca="1">'Roof Covers'!E62</f>
        <v>0</v>
      </c>
      <c r="F14" s="31">
        <f ca="1">'Roof Covers'!F62</f>
        <v>0</v>
      </c>
      <c r="G14" s="31">
        <f ca="1">'Roof Covers'!G62</f>
        <v>9335.5</v>
      </c>
      <c r="H14" s="2"/>
      <c r="I14" s="2"/>
      <c r="J14" s="212"/>
      <c r="K14" s="10">
        <f ca="1">'Roof Covers'!K62</f>
        <v>9335.5</v>
      </c>
    </row>
    <row r="15" spans="1:11">
      <c r="B15" s="510" t="s">
        <v>275</v>
      </c>
      <c r="C15" s="511"/>
      <c r="D15" s="36">
        <f ca="1">'Carpentry (First-fix)'!D62</f>
        <v>2013.2349999999999</v>
      </c>
      <c r="E15" s="31">
        <f ca="1">'Carpentry (First-fix)'!E62</f>
        <v>0</v>
      </c>
      <c r="F15" s="31">
        <f ca="1">'Carpentry (First-fix)'!F62</f>
        <v>2093.1575000000003</v>
      </c>
      <c r="G15" s="31">
        <f ca="1">'Carpentry (First-fix)'!G62</f>
        <v>0</v>
      </c>
      <c r="H15" s="2"/>
      <c r="I15" s="2"/>
      <c r="J15" s="212"/>
      <c r="K15" s="10">
        <f ca="1">'Carpentry (First-fix)'!K62</f>
        <v>4106.3924999999999</v>
      </c>
    </row>
    <row r="16" spans="1:11">
      <c r="B16" s="510" t="s">
        <v>276</v>
      </c>
      <c r="C16" s="511"/>
      <c r="D16" s="36">
        <f ca="1">'Plaster, Drylining &amp; Insulation'!D189</f>
        <v>1637.4662500000002</v>
      </c>
      <c r="E16" s="31">
        <f ca="1">'Plaster, Drylining &amp; Insulation'!E189</f>
        <v>0</v>
      </c>
      <c r="F16" s="31">
        <f ca="1">'Plaster, Drylining &amp; Insulation'!F189</f>
        <v>4022.2477500000005</v>
      </c>
      <c r="G16" s="31">
        <f ca="1">'Plaster, Drylining &amp; Insulation'!G189</f>
        <v>6547.6824999999999</v>
      </c>
      <c r="H16" s="2"/>
      <c r="I16" s="2"/>
      <c r="J16" s="212"/>
      <c r="K16" s="10">
        <f ca="1">'Plaster, Drylining &amp; Insulation'!K189</f>
        <v>12207.396499999997</v>
      </c>
    </row>
    <row r="17" spans="1:11">
      <c r="B17" s="510" t="s">
        <v>277</v>
      </c>
      <c r="C17" s="511"/>
      <c r="D17" s="36">
        <f ca="1">'Carpentry (Second-fix)'!D62</f>
        <v>1468.25</v>
      </c>
      <c r="E17" s="31">
        <f ca="1">'Carpentry (Second-fix)'!E62</f>
        <v>0</v>
      </c>
      <c r="F17" s="31">
        <f ca="1">'Carpentry (Second-fix)'!F62</f>
        <v>1807.8</v>
      </c>
      <c r="G17" s="31">
        <f ca="1">'Carpentry (Second-fix)'!G62</f>
        <v>0</v>
      </c>
      <c r="H17" s="2"/>
      <c r="I17" s="2"/>
      <c r="J17" s="212"/>
      <c r="K17" s="10">
        <f ca="1">'Carpentry (Second-fix)'!K62</f>
        <v>3276.0499999999997</v>
      </c>
    </row>
    <row r="18" spans="1:11">
      <c r="B18" s="510" t="s">
        <v>278</v>
      </c>
      <c r="C18" s="511"/>
      <c r="D18" s="36">
        <f ca="1">Painting!D126</f>
        <v>0</v>
      </c>
      <c r="E18" s="31">
        <f ca="1">Painting!E126</f>
        <v>0</v>
      </c>
      <c r="F18" s="31">
        <f ca="1">Painting!F126</f>
        <v>0</v>
      </c>
      <c r="G18" s="31">
        <f ca="1">Painting!G126</f>
        <v>5161.1200000000008</v>
      </c>
      <c r="H18" s="2"/>
      <c r="I18" s="2"/>
      <c r="J18" s="212"/>
      <c r="K18" s="10">
        <f ca="1">Painting!K126</f>
        <v>5161.1200000000008</v>
      </c>
    </row>
    <row r="19" spans="1:11">
      <c r="B19" s="510" t="s">
        <v>279</v>
      </c>
      <c r="C19" s="511"/>
      <c r="D19" s="36">
        <f>'M&amp;E'!D62</f>
        <v>0</v>
      </c>
      <c r="E19" s="31">
        <f>'M&amp;E'!E62</f>
        <v>0</v>
      </c>
      <c r="F19" s="31">
        <f>'M&amp;E'!F62</f>
        <v>2500</v>
      </c>
      <c r="G19" s="31">
        <f>'M&amp;E'!G62</f>
        <v>21500</v>
      </c>
      <c r="H19" s="2"/>
      <c r="I19" s="2"/>
      <c r="J19" s="212">
        <v>3250</v>
      </c>
      <c r="K19" s="10">
        <f>'M&amp;E'!K62</f>
        <v>27250</v>
      </c>
    </row>
    <row r="20" spans="1:11">
      <c r="B20" s="510" t="s">
        <v>433</v>
      </c>
      <c r="C20" s="511"/>
      <c r="D20" s="36">
        <f ca="1">Guttering!D62</f>
        <v>320.95</v>
      </c>
      <c r="E20" s="31">
        <f ca="1">Guttering!E62</f>
        <v>0</v>
      </c>
      <c r="F20" s="31">
        <f ca="1">Guttering!F62</f>
        <v>547.10250000000008</v>
      </c>
      <c r="G20" s="31">
        <f ca="1">Guttering!G62</f>
        <v>0</v>
      </c>
      <c r="H20" s="2"/>
      <c r="I20" s="2"/>
      <c r="J20" s="212"/>
      <c r="K20" s="10">
        <f ca="1">Guttering!K62</f>
        <v>868.05250000000001</v>
      </c>
    </row>
    <row r="21" spans="1:11">
      <c r="B21" s="510" t="s">
        <v>355</v>
      </c>
      <c r="C21" s="511"/>
      <c r="D21" s="36">
        <f ca="1">'Bel Ground Drain (Storm - Mach)'!D62</f>
        <v>734.2</v>
      </c>
      <c r="E21" s="31">
        <f ca="1">'Bel Ground Drain (Storm - Mach)'!E62</f>
        <v>438.00000000000006</v>
      </c>
      <c r="F21" s="31">
        <f ca="1">'Bel Ground Drain (Storm - Mach)'!F62</f>
        <v>2516.5</v>
      </c>
      <c r="G21" s="31">
        <f ca="1">'Bel Ground Drain (Storm - Mach)'!G62</f>
        <v>0</v>
      </c>
      <c r="H21" s="2"/>
      <c r="I21" s="2"/>
      <c r="J21" s="212"/>
      <c r="K21" s="10">
        <f ca="1">'Bel Ground Drain (Storm - Mach)'!K62</f>
        <v>3688.7</v>
      </c>
    </row>
    <row r="22" spans="1:11">
      <c r="B22" s="510" t="s">
        <v>356</v>
      </c>
      <c r="C22" s="511"/>
      <c r="D22" s="36">
        <f ca="1">'Bel Ground Drain (Foul - Mach)'!D62</f>
        <v>1017.0932</v>
      </c>
      <c r="E22" s="31">
        <f ca="1">'Bel Ground Drain (Foul - Mach)'!E62</f>
        <v>456.80533333333341</v>
      </c>
      <c r="F22" s="31">
        <f ca="1">'Bel Ground Drain (Foul - Mach)'!F62</f>
        <v>2544.5819999999999</v>
      </c>
      <c r="G22" s="31">
        <f ca="1">'Bel Ground Drain (Foul - Mach)'!G62</f>
        <v>0</v>
      </c>
      <c r="H22" s="2"/>
      <c r="I22" s="2"/>
      <c r="J22" s="212"/>
      <c r="K22" s="10">
        <f ca="1">'Bel Ground Drain (Foul - Mach)'!K62</f>
        <v>4018.4805333333334</v>
      </c>
    </row>
    <row r="23" spans="1:11">
      <c r="B23" s="510" t="s">
        <v>925</v>
      </c>
      <c r="C23" s="511"/>
      <c r="D23" s="36">
        <f ca="1">'Foul Pumping Station'!D61</f>
        <v>121.79405500000001</v>
      </c>
      <c r="E23" s="31">
        <f ca="1">'Foul Pumping Station'!E61</f>
        <v>151.66603000000001</v>
      </c>
      <c r="F23" s="31">
        <f ca="1">'Foul Pumping Station'!F61</f>
        <v>1913.6574810000002</v>
      </c>
      <c r="G23" s="31">
        <f ca="1">'Foul Pumping Station'!G61</f>
        <v>0</v>
      </c>
      <c r="H23" s="2"/>
      <c r="I23" s="2"/>
      <c r="J23" s="212"/>
      <c r="K23" s="10">
        <f ca="1">'Foul Pumping Station'!K61</f>
        <v>2187.1175659999999</v>
      </c>
    </row>
    <row r="24" spans="1:11">
      <c r="B24" s="510" t="s">
        <v>232</v>
      </c>
      <c r="C24" s="511"/>
      <c r="D24" s="36">
        <f ca="1">'Rainwater Attenuation'!D62</f>
        <v>117.10124000000002</v>
      </c>
      <c r="E24" s="31">
        <f ca="1">'Rainwater Attenuation'!E62</f>
        <v>162.75</v>
      </c>
      <c r="F24" s="31">
        <f ca="1">'Rainwater Attenuation'!F62</f>
        <v>273.58500000000004</v>
      </c>
      <c r="G24" s="31">
        <f ca="1">'Rainwater Attenuation'!G62</f>
        <v>0</v>
      </c>
      <c r="H24" s="2"/>
      <c r="I24" s="2"/>
      <c r="J24" s="212"/>
      <c r="K24" s="10">
        <f ca="1">'Rainwater Attenuation'!K62</f>
        <v>553.43624</v>
      </c>
    </row>
    <row r="25" spans="1:11">
      <c r="B25" s="510" t="s">
        <v>924</v>
      </c>
      <c r="C25" s="511"/>
      <c r="D25" s="36">
        <f ca="1">'Rainwater Harvester'!D62</f>
        <v>200.85700000000003</v>
      </c>
      <c r="E25" s="31">
        <f ca="1">'Rainwater Harvester'!E62</f>
        <v>417.56350000000009</v>
      </c>
      <c r="F25" s="31">
        <f ca="1">'Rainwater Harvester'!F62</f>
        <v>2058.3443000000002</v>
      </c>
      <c r="G25" s="31">
        <f ca="1">'Rainwater Harvester'!G62</f>
        <v>0</v>
      </c>
      <c r="H25" s="2"/>
      <c r="I25" s="2"/>
      <c r="J25" s="212"/>
      <c r="K25" s="10">
        <f ca="1">'Rainwater Harvester'!K62</f>
        <v>2676.7648000000004</v>
      </c>
    </row>
    <row r="26" spans="1:11">
      <c r="B26" s="510" t="s">
        <v>59</v>
      </c>
      <c r="C26" s="511"/>
      <c r="D26" s="36">
        <f ca="1">'External Works'!D125</f>
        <v>2485.9577499999996</v>
      </c>
      <c r="E26" s="31">
        <f ca="1">'External Works'!E125</f>
        <v>1175.3334999999997</v>
      </c>
      <c r="F26" s="31">
        <f ca="1">'External Works'!F125</f>
        <v>4221.4955499999996</v>
      </c>
      <c r="G26" s="31">
        <f ca="1">'External Works'!G125</f>
        <v>1250</v>
      </c>
      <c r="H26" s="2"/>
      <c r="I26" s="2"/>
      <c r="J26" s="212"/>
      <c r="K26" s="10">
        <f ca="1">'External Works'!K125</f>
        <v>9132.786799999998</v>
      </c>
    </row>
    <row r="27" spans="1:11">
      <c r="B27" s="510" t="s">
        <v>230</v>
      </c>
      <c r="C27" s="511"/>
      <c r="D27" s="36">
        <f ca="1">Services!D61</f>
        <v>242.43749999999997</v>
      </c>
      <c r="E27" s="31">
        <f ca="1">Services!E61</f>
        <v>240.97499999999999</v>
      </c>
      <c r="F27" s="31">
        <f ca="1">Services!F61</f>
        <v>165.57</v>
      </c>
      <c r="G27" s="31">
        <f ca="1">Services!G61</f>
        <v>0</v>
      </c>
      <c r="H27" s="2"/>
      <c r="I27" s="2"/>
      <c r="J27" s="212"/>
      <c r="K27" s="10">
        <f ca="1">Services!K61</f>
        <v>648.98249999999996</v>
      </c>
    </row>
    <row r="28" spans="1:11">
      <c r="B28" s="515"/>
      <c r="C28" s="516"/>
      <c r="D28" s="8"/>
      <c r="E28" s="12"/>
      <c r="F28" s="12"/>
      <c r="G28" s="15"/>
      <c r="H28" s="2"/>
      <c r="I28" s="2"/>
      <c r="J28" s="212"/>
      <c r="K28" s="10"/>
    </row>
    <row r="29" spans="1:11" ht="15.75" thickBot="1">
      <c r="B29" s="517"/>
      <c r="C29" s="518"/>
      <c r="D29" s="8"/>
      <c r="E29" s="12"/>
      <c r="F29" s="12"/>
      <c r="G29" s="12"/>
      <c r="H29" s="2"/>
      <c r="I29" s="2"/>
      <c r="J29" s="212"/>
      <c r="K29" s="10"/>
    </row>
    <row r="30" spans="1:11" ht="16.5" thickTop="1" thickBot="1">
      <c r="B30" s="513" t="s">
        <v>9</v>
      </c>
      <c r="C30" s="514"/>
      <c r="D30" s="127">
        <f ca="1">SUM(D4:D27)</f>
        <v>27225.087394374998</v>
      </c>
      <c r="E30" s="127">
        <f ca="1">SUM(E4:E27)</f>
        <v>5781.5323445833337</v>
      </c>
      <c r="F30" s="127">
        <f ca="1">SUM(F4:F27)</f>
        <v>58103.814081000004</v>
      </c>
      <c r="G30" s="127">
        <f ca="1">SUM(G4:G27)</f>
        <v>52762.502500000002</v>
      </c>
      <c r="H30" s="46">
        <f ca="1">SUM(D30:G30)</f>
        <v>143872.93631995833</v>
      </c>
      <c r="J30" s="213">
        <f>SUM(J4:J27)</f>
        <v>3250</v>
      </c>
      <c r="K30" s="207">
        <f ca="1">SUM(K4:K27)</f>
        <v>147122.93631995833</v>
      </c>
    </row>
    <row r="31" spans="1:11" ht="15" customHeight="1">
      <c r="A31" s="51"/>
      <c r="B31" s="519"/>
      <c r="C31" s="520"/>
      <c r="D31" s="67"/>
      <c r="E31"/>
      <c r="F31"/>
      <c r="G31"/>
      <c r="K31" s="200" t="str">
        <f ca="1">IF((H30+J30)=K30,"Correct")</f>
        <v>Correct</v>
      </c>
    </row>
    <row r="32" spans="1:11" ht="15" customHeight="1">
      <c r="A32" s="51"/>
      <c r="B32" s="508"/>
      <c r="C32" s="509"/>
      <c r="G32" s="119"/>
    </row>
    <row r="33" spans="2:11">
      <c r="B33" s="508"/>
      <c r="C33" s="509"/>
      <c r="D33" s="67"/>
      <c r="E33"/>
      <c r="F33"/>
      <c r="G33"/>
      <c r="K33" s="71"/>
    </row>
    <row r="34" spans="2:11">
      <c r="B34" s="508"/>
      <c r="C34" s="509"/>
      <c r="G34" s="119"/>
    </row>
    <row r="35" spans="2:11">
      <c r="B35" s="508"/>
      <c r="C35" s="509"/>
      <c r="G35" s="119"/>
    </row>
    <row r="36" spans="2:11">
      <c r="B36" s="508"/>
      <c r="C36" s="509"/>
      <c r="G36" s="119"/>
    </row>
    <row r="37" spans="2:11">
      <c r="B37" s="508"/>
      <c r="C37" s="509"/>
      <c r="G37" s="119"/>
    </row>
    <row r="38" spans="2:11">
      <c r="B38" s="508"/>
      <c r="C38" s="509"/>
      <c r="D38" s="67"/>
      <c r="E38"/>
      <c r="F38"/>
      <c r="G38"/>
      <c r="K38" s="71"/>
    </row>
    <row r="39" spans="2:11">
      <c r="B39" s="508"/>
      <c r="C39" s="509"/>
      <c r="G39" s="119"/>
    </row>
    <row r="40" spans="2:11">
      <c r="B40" s="508"/>
      <c r="C40" s="509"/>
      <c r="G40" s="119"/>
    </row>
    <row r="41" spans="2:11">
      <c r="B41" s="508"/>
      <c r="C41" s="509"/>
      <c r="G41" s="119"/>
    </row>
    <row r="42" spans="2:11">
      <c r="B42" s="508"/>
      <c r="C42" s="509"/>
    </row>
    <row r="43" spans="2:11">
      <c r="B43" s="508"/>
      <c r="C43" s="509"/>
    </row>
    <row r="44" spans="2:11">
      <c r="B44" s="508"/>
      <c r="C44" s="509"/>
    </row>
    <row r="45" spans="2:11">
      <c r="B45" s="508"/>
      <c r="C45" s="509"/>
    </row>
    <row r="46" spans="2:11">
      <c r="B46" s="508"/>
      <c r="C46" s="509"/>
    </row>
    <row r="47" spans="2:11">
      <c r="B47" s="508"/>
      <c r="C47" s="509"/>
    </row>
    <row r="48" spans="2:11">
      <c r="B48" s="508"/>
      <c r="C48" s="509"/>
    </row>
    <row r="49" spans="2:11">
      <c r="B49" s="508"/>
      <c r="C49" s="509"/>
    </row>
    <row r="50" spans="2:11">
      <c r="B50" s="508"/>
      <c r="C50" s="509"/>
    </row>
    <row r="51" spans="2:11">
      <c r="B51" s="508"/>
      <c r="C51" s="509"/>
    </row>
    <row r="52" spans="2:11">
      <c r="B52" s="508"/>
      <c r="C52" s="509"/>
    </row>
    <row r="53" spans="2:11">
      <c r="B53" s="508"/>
      <c r="C53" s="509"/>
    </row>
    <row r="54" spans="2:11">
      <c r="B54" s="508"/>
      <c r="C54" s="509"/>
    </row>
    <row r="55" spans="2:11">
      <c r="B55" s="508"/>
      <c r="C55" s="509"/>
    </row>
    <row r="56" spans="2:11">
      <c r="B56" s="508"/>
      <c r="C56" s="509"/>
    </row>
    <row r="57" spans="2:11">
      <c r="B57" s="508"/>
      <c r="C57" s="509"/>
    </row>
    <row r="58" spans="2:11">
      <c r="B58" s="508"/>
      <c r="C58" s="509"/>
    </row>
    <row r="59" spans="2:11">
      <c r="B59" s="508"/>
      <c r="C59" s="509"/>
    </row>
    <row r="60" spans="2:11">
      <c r="B60" s="508"/>
      <c r="C60" s="509"/>
    </row>
    <row r="61" spans="2:11">
      <c r="B61" s="508"/>
      <c r="C61" s="509"/>
    </row>
    <row r="62" spans="2:11">
      <c r="B62" s="508"/>
      <c r="C62" s="509"/>
    </row>
    <row r="63" spans="2:11">
      <c r="B63" s="508"/>
      <c r="C63" s="509"/>
      <c r="D63" s="67"/>
      <c r="E63"/>
      <c r="F63"/>
      <c r="G63"/>
      <c r="H63" s="51"/>
      <c r="I63"/>
      <c r="K63" s="71"/>
    </row>
    <row r="64" spans="2:11">
      <c r="B64" s="508"/>
      <c r="C64" s="509"/>
      <c r="D64" s="67"/>
      <c r="E64"/>
      <c r="F64"/>
      <c r="G64"/>
      <c r="H64" s="51"/>
      <c r="I64"/>
      <c r="K64" s="71"/>
    </row>
  </sheetData>
  <sheetProtection sheet="1" objects="1" scenarios="1" selectLockedCells="1" selectUnlockedCells="1"/>
  <mergeCells count="64">
    <mergeCell ref="B34:C34"/>
    <mergeCell ref="B24:C24"/>
    <mergeCell ref="B15:C15"/>
    <mergeCell ref="B16:C16"/>
    <mergeCell ref="B17:C17"/>
    <mergeCell ref="B18:C18"/>
    <mergeCell ref="B21:C21"/>
    <mergeCell ref="B23:C23"/>
    <mergeCell ref="B19:C19"/>
    <mergeCell ref="B20:C20"/>
    <mergeCell ref="B22:C22"/>
    <mergeCell ref="B11:C11"/>
    <mergeCell ref="B13:C13"/>
    <mergeCell ref="B31:C31"/>
    <mergeCell ref="B32:C32"/>
    <mergeCell ref="B33:C33"/>
    <mergeCell ref="B37:C37"/>
    <mergeCell ref="D1:G1"/>
    <mergeCell ref="B30:C30"/>
    <mergeCell ref="B3:C3"/>
    <mergeCell ref="B4:C4"/>
    <mergeCell ref="B5:C5"/>
    <mergeCell ref="B6:C6"/>
    <mergeCell ref="B7:C7"/>
    <mergeCell ref="B8:C8"/>
    <mergeCell ref="B9:C9"/>
    <mergeCell ref="B10:C10"/>
    <mergeCell ref="B28:C28"/>
    <mergeCell ref="B29:C29"/>
    <mergeCell ref="B14:C14"/>
    <mergeCell ref="B2:C2"/>
    <mergeCell ref="B12:C12"/>
    <mergeCell ref="B62:C62"/>
    <mergeCell ref="B63:C63"/>
    <mergeCell ref="B64:C64"/>
    <mergeCell ref="B59:C59"/>
    <mergeCell ref="B60:C60"/>
    <mergeCell ref="B61:C61"/>
    <mergeCell ref="B58:C5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2:C42"/>
    <mergeCell ref="B25:C25"/>
    <mergeCell ref="B26:C26"/>
    <mergeCell ref="B27:C27"/>
    <mergeCell ref="B43:C43"/>
    <mergeCell ref="B38:C38"/>
    <mergeCell ref="B39:C39"/>
    <mergeCell ref="B44:C44"/>
    <mergeCell ref="B45:C45"/>
    <mergeCell ref="B40:C40"/>
    <mergeCell ref="B41:C41"/>
    <mergeCell ref="B35:C35"/>
    <mergeCell ref="B36:C36"/>
  </mergeCells>
  <pageMargins left="0.7" right="0.7" top="0.75" bottom="0.75" header="0.3" footer="0.3"/>
  <pageSetup paperSize="9" scale="78" orientation="portrait" horizontalDpi="4294967293" r:id="rId1"/>
  <headerFooter>
    <oddHeader>&amp;LBES: 07015&amp;R&amp;F</oddHeader>
    <oddFooter>&amp;L&amp;G B.E.S. Ltd&amp;C&amp;P of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115"/>
  <sheetViews>
    <sheetView view="pageLayout" topLeftCell="A79" workbookViewId="0">
      <selection activeCell="B100" activeCellId="2" sqref="E106 B101 B100"/>
    </sheetView>
  </sheetViews>
  <sheetFormatPr defaultRowHeight="15"/>
  <cols>
    <col min="1" max="1" width="19.28515625" customWidth="1"/>
    <col min="2" max="2" width="10.140625" bestFit="1" customWidth="1"/>
    <col min="3" max="3" width="5.85546875" bestFit="1" customWidth="1"/>
    <col min="4" max="4" width="8.85546875" bestFit="1" customWidth="1"/>
    <col min="5" max="5" width="6.5703125" bestFit="1" customWidth="1"/>
  </cols>
  <sheetData>
    <row r="1" spans="1:9" ht="21.75" thickBot="1">
      <c r="A1" s="384" t="s">
        <v>309</v>
      </c>
      <c r="B1" s="384"/>
      <c r="C1" s="384"/>
      <c r="D1" s="384"/>
      <c r="E1" s="384"/>
      <c r="F1" s="384"/>
      <c r="G1" s="384"/>
      <c r="H1" s="384"/>
      <c r="I1" s="384"/>
    </row>
    <row r="2" spans="1:9">
      <c r="I2" s="391" t="s">
        <v>331</v>
      </c>
    </row>
    <row r="3" spans="1:9" ht="15.75" thickBot="1">
      <c r="I3" s="392"/>
    </row>
    <row r="4" spans="1:9" ht="15.75">
      <c r="A4" s="153" t="s">
        <v>466</v>
      </c>
      <c r="B4" s="153"/>
      <c r="I4" s="319"/>
    </row>
    <row r="5" spans="1:9" ht="15.75">
      <c r="A5" s="153"/>
      <c r="B5" s="153"/>
      <c r="I5" s="319"/>
    </row>
    <row r="6" spans="1:9">
      <c r="A6" t="s">
        <v>326</v>
      </c>
      <c r="B6" s="354">
        <v>140</v>
      </c>
      <c r="C6" t="s">
        <v>314</v>
      </c>
      <c r="D6" t="s">
        <v>325</v>
      </c>
      <c r="E6" s="152">
        <f>B6/8</f>
        <v>17.5</v>
      </c>
      <c r="I6" s="319"/>
    </row>
    <row r="7" spans="1:9">
      <c r="A7" t="s">
        <v>327</v>
      </c>
      <c r="B7" s="354">
        <v>116</v>
      </c>
      <c r="C7" t="s">
        <v>314</v>
      </c>
      <c r="D7" t="s">
        <v>325</v>
      </c>
      <c r="E7" s="152">
        <f>B7/8</f>
        <v>14.5</v>
      </c>
      <c r="I7" s="319"/>
    </row>
    <row r="8" spans="1:9">
      <c r="E8" s="152"/>
      <c r="I8" s="319"/>
    </row>
    <row r="9" spans="1:9">
      <c r="A9" t="s">
        <v>328</v>
      </c>
      <c r="B9" s="152">
        <f>SUM(B6:B7)</f>
        <v>256</v>
      </c>
      <c r="C9" t="s">
        <v>314</v>
      </c>
      <c r="D9" t="s">
        <v>325</v>
      </c>
      <c r="E9" s="152">
        <f>B9/8</f>
        <v>32</v>
      </c>
      <c r="I9" s="319"/>
    </row>
    <row r="10" spans="1:9">
      <c r="I10" s="319"/>
    </row>
    <row r="11" spans="1:9">
      <c r="A11" t="s">
        <v>319</v>
      </c>
      <c r="B11" s="152">
        <f>'Site set up &amp; demolitions'!D61</f>
        <v>100</v>
      </c>
      <c r="D11" t="s">
        <v>316</v>
      </c>
      <c r="E11" s="120">
        <f>SUM(B11/B9)</f>
        <v>0.390625</v>
      </c>
      <c r="I11" s="319"/>
    </row>
    <row r="12" spans="1:9">
      <c r="D12" t="s">
        <v>330</v>
      </c>
      <c r="E12" s="355">
        <v>0.5</v>
      </c>
      <c r="I12" s="319"/>
    </row>
    <row r="13" spans="1:9">
      <c r="E13" s="120"/>
      <c r="I13" s="319"/>
    </row>
    <row r="14" spans="1:9">
      <c r="A14" t="s">
        <v>329</v>
      </c>
      <c r="B14" s="152">
        <f>SUM((E12*B9)-B11)</f>
        <v>28</v>
      </c>
      <c r="I14" s="319"/>
    </row>
    <row r="15" spans="1:9">
      <c r="I15" s="319"/>
    </row>
    <row r="16" spans="1:9">
      <c r="A16" t="s">
        <v>315</v>
      </c>
      <c r="B16" s="152">
        <f>SUM(B11:B14)</f>
        <v>128</v>
      </c>
      <c r="I16" s="320">
        <f>B14</f>
        <v>28</v>
      </c>
    </row>
    <row r="17" spans="1:9">
      <c r="I17" s="319"/>
    </row>
    <row r="18" spans="1:9">
      <c r="I18" s="319"/>
    </row>
    <row r="19" spans="1:9" ht="15.75">
      <c r="A19" s="153" t="s">
        <v>324</v>
      </c>
      <c r="B19" s="153"/>
      <c r="I19" s="319"/>
    </row>
    <row r="20" spans="1:9" ht="15.75">
      <c r="A20" s="153"/>
      <c r="B20" s="153"/>
      <c r="I20" s="319"/>
    </row>
    <row r="21" spans="1:9">
      <c r="A21" t="s">
        <v>326</v>
      </c>
      <c r="B21" s="354">
        <v>140</v>
      </c>
      <c r="C21" t="s">
        <v>314</v>
      </c>
      <c r="D21" t="s">
        <v>325</v>
      </c>
      <c r="E21" s="152">
        <f>B21/8</f>
        <v>17.5</v>
      </c>
      <c r="I21" s="319"/>
    </row>
    <row r="22" spans="1:9">
      <c r="A22" t="s">
        <v>327</v>
      </c>
      <c r="B22" s="354">
        <v>116</v>
      </c>
      <c r="C22" t="s">
        <v>314</v>
      </c>
      <c r="D22" t="s">
        <v>325</v>
      </c>
      <c r="E22" s="152">
        <f>B22/8</f>
        <v>14.5</v>
      </c>
      <c r="I22" s="319"/>
    </row>
    <row r="23" spans="1:9">
      <c r="E23" s="152"/>
      <c r="I23" s="319"/>
    </row>
    <row r="24" spans="1:9">
      <c r="A24" t="s">
        <v>328</v>
      </c>
      <c r="B24" s="152">
        <f>SUM(B21:B22)</f>
        <v>256</v>
      </c>
      <c r="C24" t="s">
        <v>314</v>
      </c>
      <c r="D24" t="s">
        <v>325</v>
      </c>
      <c r="E24" s="152">
        <f>B24/8</f>
        <v>32</v>
      </c>
      <c r="I24" s="319"/>
    </row>
    <row r="25" spans="1:9">
      <c r="I25" s="319"/>
    </row>
    <row r="26" spans="1:9">
      <c r="A26" t="s">
        <v>319</v>
      </c>
      <c r="B26" s="152">
        <f ca="1">SUM('Groundwork (Machine)'!D125)+('Ground floor (Beam &amp; Block)'!D61)+('Bel Ground Drain (Storm - Mach)'!D62)+('Bel Ground Drain (Foul - Mach)'!D62)+('Foul Pumping Station'!D61)+('Rainwater Attenuation'!D62)+('Rainwater Harvester'!D62)+('External Works'!D125)+(Services!D61-(Services!D51*Services!H51))</f>
        <v>7015.7435131250004</v>
      </c>
      <c r="D26" t="s">
        <v>316</v>
      </c>
      <c r="E26" s="120">
        <f ca="1">SUM(B26/B24)</f>
        <v>27.405248098144533</v>
      </c>
      <c r="I26" s="319"/>
    </row>
    <row r="27" spans="1:9">
      <c r="D27" t="s">
        <v>330</v>
      </c>
      <c r="E27" s="355">
        <v>28</v>
      </c>
      <c r="I27" s="319"/>
    </row>
    <row r="28" spans="1:9">
      <c r="E28" s="120"/>
      <c r="I28" s="319"/>
    </row>
    <row r="29" spans="1:9">
      <c r="A29" t="s">
        <v>329</v>
      </c>
      <c r="B29" s="152">
        <f ca="1">SUM((E27*B24)-B26)</f>
        <v>152.25648687499961</v>
      </c>
      <c r="I29" s="319"/>
    </row>
    <row r="30" spans="1:9">
      <c r="I30" s="319"/>
    </row>
    <row r="31" spans="1:9">
      <c r="A31" t="s">
        <v>315</v>
      </c>
      <c r="B31" s="152">
        <f ca="1">SUM(B26:B29)</f>
        <v>7168</v>
      </c>
      <c r="I31" s="320">
        <f ca="1">B29</f>
        <v>152.25648687499961</v>
      </c>
    </row>
    <row r="32" spans="1:9">
      <c r="I32" s="319"/>
    </row>
    <row r="33" spans="1:9">
      <c r="I33" s="319"/>
    </row>
    <row r="34" spans="1:9" ht="15.75">
      <c r="A34" s="153" t="s">
        <v>310</v>
      </c>
      <c r="B34" s="153"/>
      <c r="I34" s="319"/>
    </row>
    <row r="35" spans="1:9" ht="15.75">
      <c r="A35" s="153"/>
      <c r="B35" s="153"/>
      <c r="I35" s="319"/>
    </row>
    <row r="36" spans="1:9">
      <c r="A36" t="s">
        <v>321</v>
      </c>
      <c r="B36" s="354">
        <v>275</v>
      </c>
      <c r="C36" t="s">
        <v>281</v>
      </c>
      <c r="I36" s="319"/>
    </row>
    <row r="37" spans="1:9">
      <c r="A37" t="s">
        <v>311</v>
      </c>
      <c r="B37" s="354">
        <v>400</v>
      </c>
      <c r="C37" t="s">
        <v>281</v>
      </c>
      <c r="I37" s="319"/>
    </row>
    <row r="38" spans="1:9">
      <c r="A38" t="s">
        <v>312</v>
      </c>
      <c r="B38" s="354">
        <v>12</v>
      </c>
      <c r="C38" t="s">
        <v>313</v>
      </c>
      <c r="I38" s="319"/>
    </row>
    <row r="39" spans="1:9">
      <c r="A39" t="s">
        <v>106</v>
      </c>
      <c r="B39" s="354">
        <v>160</v>
      </c>
      <c r="C39" t="s">
        <v>314</v>
      </c>
      <c r="D39" t="s">
        <v>317</v>
      </c>
      <c r="E39" s="152">
        <f>SUM(B39/8)</f>
        <v>20</v>
      </c>
      <c r="I39" s="319"/>
    </row>
    <row r="40" spans="1:9">
      <c r="A40" t="s">
        <v>3</v>
      </c>
      <c r="B40" s="354">
        <v>80</v>
      </c>
      <c r="C40" t="s">
        <v>314</v>
      </c>
      <c r="I40" s="319"/>
    </row>
    <row r="41" spans="1:9">
      <c r="I41" s="319"/>
    </row>
    <row r="42" spans="1:9">
      <c r="A42" t="s">
        <v>318</v>
      </c>
      <c r="B42" s="152">
        <f>SUM((B39*2)+B40)</f>
        <v>400</v>
      </c>
      <c r="C42" t="s">
        <v>314</v>
      </c>
      <c r="I42" s="319"/>
    </row>
    <row r="43" spans="1:9">
      <c r="I43" s="319"/>
    </row>
    <row r="44" spans="1:9">
      <c r="A44" t="s">
        <v>319</v>
      </c>
      <c r="B44" s="152">
        <f ca="1">SUM('Brickwork to DPC'!D62)+('External walls (Brickwork)'!D124)+('Stone work'!D62)+('Lintels &amp; steelwork'!D62)+(Services!D51*Services!H51)</f>
        <v>12177.53875</v>
      </c>
      <c r="D44" t="s">
        <v>316</v>
      </c>
      <c r="E44" s="120">
        <f ca="1">SUM(B44/(B39*2))</f>
        <v>38.054808593749996</v>
      </c>
      <c r="I44" s="319"/>
    </row>
    <row r="45" spans="1:9">
      <c r="B45" s="152"/>
      <c r="D45" t="s">
        <v>330</v>
      </c>
      <c r="E45" s="355">
        <v>38.5</v>
      </c>
      <c r="I45" s="319"/>
    </row>
    <row r="46" spans="1:9">
      <c r="B46" s="152"/>
      <c r="E46" s="120"/>
      <c r="I46" s="319"/>
    </row>
    <row r="47" spans="1:9">
      <c r="A47" t="s">
        <v>891</v>
      </c>
      <c r="B47" s="152">
        <f ca="1">SUM((E45*(B39*2)-B44))</f>
        <v>142.46125000000029</v>
      </c>
      <c r="I47" s="320">
        <f ca="1">B47</f>
        <v>142.46125000000029</v>
      </c>
    </row>
    <row r="48" spans="1:9">
      <c r="A48" t="s">
        <v>320</v>
      </c>
      <c r="B48" s="152">
        <f>SUM(E45*B40)</f>
        <v>3080</v>
      </c>
      <c r="I48" s="319"/>
    </row>
    <row r="49" spans="1:9">
      <c r="I49" s="319"/>
    </row>
    <row r="50" spans="1:9">
      <c r="A50" t="s">
        <v>315</v>
      </c>
      <c r="B50" s="152">
        <f ca="1">SUM(B44:B48)</f>
        <v>15400</v>
      </c>
      <c r="I50" s="320">
        <f>B48</f>
        <v>3080</v>
      </c>
    </row>
    <row r="51" spans="1:9">
      <c r="I51" s="319"/>
    </row>
    <row r="52" spans="1:9">
      <c r="I52" s="319"/>
    </row>
    <row r="53" spans="1:9" ht="15.75">
      <c r="A53" s="153" t="s">
        <v>348</v>
      </c>
      <c r="B53" s="153"/>
      <c r="I53" s="319"/>
    </row>
    <row r="54" spans="1:9" ht="15.75">
      <c r="A54" s="153"/>
      <c r="B54" s="153"/>
      <c r="I54" s="319"/>
    </row>
    <row r="55" spans="1:9">
      <c r="A55" t="s">
        <v>326</v>
      </c>
      <c r="B55" s="354">
        <v>140</v>
      </c>
      <c r="C55" t="s">
        <v>314</v>
      </c>
      <c r="D55" t="s">
        <v>325</v>
      </c>
      <c r="E55" s="152">
        <f>B55/8</f>
        <v>17.5</v>
      </c>
      <c r="I55" s="319"/>
    </row>
    <row r="56" spans="1:9">
      <c r="A56" t="s">
        <v>326</v>
      </c>
      <c r="B56" s="354">
        <v>140</v>
      </c>
      <c r="C56" t="s">
        <v>314</v>
      </c>
      <c r="D56" t="s">
        <v>325</v>
      </c>
      <c r="E56" s="152">
        <f>B56/8</f>
        <v>17.5</v>
      </c>
      <c r="I56" s="319"/>
    </row>
    <row r="57" spans="1:9">
      <c r="E57" s="152"/>
      <c r="I57" s="319"/>
    </row>
    <row r="58" spans="1:9">
      <c r="A58" t="s">
        <v>328</v>
      </c>
      <c r="B58" s="152">
        <f>SUM(B55:B56)</f>
        <v>280</v>
      </c>
      <c r="C58" t="s">
        <v>314</v>
      </c>
      <c r="D58" t="s">
        <v>325</v>
      </c>
      <c r="E58" s="152">
        <f>B58/8</f>
        <v>35</v>
      </c>
      <c r="I58" s="319"/>
    </row>
    <row r="59" spans="1:9">
      <c r="I59" s="319"/>
    </row>
    <row r="60" spans="1:9">
      <c r="A60" t="s">
        <v>319</v>
      </c>
      <c r="B60" s="152">
        <f>SUM('External Joinery'!D62)</f>
        <v>0</v>
      </c>
      <c r="D60" t="s">
        <v>316</v>
      </c>
      <c r="E60" s="120">
        <f>SUM(B60/B58)</f>
        <v>0</v>
      </c>
      <c r="I60" s="319"/>
    </row>
    <row r="61" spans="1:9">
      <c r="D61" t="s">
        <v>330</v>
      </c>
      <c r="E61" s="355">
        <v>0</v>
      </c>
      <c r="I61" s="319"/>
    </row>
    <row r="62" spans="1:9">
      <c r="E62" s="120"/>
      <c r="I62" s="319"/>
    </row>
    <row r="63" spans="1:9">
      <c r="A63" t="s">
        <v>329</v>
      </c>
      <c r="B63" s="152">
        <f>SUM((E61*B58)-B60)</f>
        <v>0</v>
      </c>
      <c r="I63" s="319"/>
    </row>
    <row r="64" spans="1:9">
      <c r="I64" s="319"/>
    </row>
    <row r="65" spans="1:9">
      <c r="A65" t="s">
        <v>315</v>
      </c>
      <c r="B65" s="152">
        <f>SUM(B60:B63)</f>
        <v>0</v>
      </c>
      <c r="I65" s="320">
        <f>B63</f>
        <v>0</v>
      </c>
    </row>
    <row r="66" spans="1:9">
      <c r="I66" s="319"/>
    </row>
    <row r="67" spans="1:9">
      <c r="I67" s="319"/>
    </row>
    <row r="68" spans="1:9" ht="15.75">
      <c r="A68" s="153" t="s">
        <v>349</v>
      </c>
      <c r="B68" s="153"/>
      <c r="I68" s="319"/>
    </row>
    <row r="69" spans="1:9" ht="15.75">
      <c r="A69" s="153"/>
      <c r="B69" s="153"/>
      <c r="I69" s="319"/>
    </row>
    <row r="70" spans="1:9">
      <c r="A70" t="s">
        <v>326</v>
      </c>
      <c r="B70" s="354">
        <v>140</v>
      </c>
      <c r="C70" t="s">
        <v>314</v>
      </c>
      <c r="D70" t="s">
        <v>325</v>
      </c>
      <c r="E70" s="152">
        <f>B70/8</f>
        <v>17.5</v>
      </c>
      <c r="I70" s="319"/>
    </row>
    <row r="71" spans="1:9">
      <c r="A71" t="s">
        <v>326</v>
      </c>
      <c r="B71" s="354">
        <v>140</v>
      </c>
      <c r="C71" t="s">
        <v>314</v>
      </c>
      <c r="D71" t="s">
        <v>325</v>
      </c>
      <c r="E71" s="152">
        <f>B71/8</f>
        <v>17.5</v>
      </c>
      <c r="I71" s="319"/>
    </row>
    <row r="72" spans="1:9">
      <c r="E72" s="152"/>
      <c r="I72" s="319"/>
    </row>
    <row r="73" spans="1:9">
      <c r="A73" t="s">
        <v>328</v>
      </c>
      <c r="B73" s="152">
        <f>SUM(B70:B71)</f>
        <v>280</v>
      </c>
      <c r="C73" t="s">
        <v>314</v>
      </c>
      <c r="D73" t="s">
        <v>325</v>
      </c>
      <c r="E73" s="152">
        <f>B73/8</f>
        <v>35</v>
      </c>
      <c r="I73" s="319"/>
    </row>
    <row r="74" spans="1:9">
      <c r="I74" s="319"/>
    </row>
    <row r="75" spans="1:9">
      <c r="A75" t="s">
        <v>319</v>
      </c>
      <c r="B75" s="152">
        <f ca="1">SUM('First-floor'!D61)+('Roof Structure (Truss)'!D61)+(Guttering!D62)</f>
        <v>2812.8538812499996</v>
      </c>
      <c r="D75" t="s">
        <v>316</v>
      </c>
      <c r="E75" s="120">
        <f ca="1">SUM(B75/B73)</f>
        <v>10.045906718749999</v>
      </c>
      <c r="I75" s="319"/>
    </row>
    <row r="76" spans="1:9">
      <c r="D76" t="s">
        <v>330</v>
      </c>
      <c r="E76" s="355">
        <v>10.5</v>
      </c>
      <c r="I76" s="319"/>
    </row>
    <row r="77" spans="1:9">
      <c r="E77" s="120"/>
      <c r="I77" s="319"/>
    </row>
    <row r="78" spans="1:9">
      <c r="A78" t="s">
        <v>329</v>
      </c>
      <c r="B78" s="152">
        <f ca="1">SUM((E76*B73)-B75)</f>
        <v>127.14611875000037</v>
      </c>
      <c r="I78" s="319"/>
    </row>
    <row r="79" spans="1:9">
      <c r="I79" s="319"/>
    </row>
    <row r="80" spans="1:9">
      <c r="A80" t="s">
        <v>315</v>
      </c>
      <c r="B80" s="152">
        <f ca="1">SUM(B75:B78)</f>
        <v>2940</v>
      </c>
      <c r="I80" s="320">
        <f ca="1">B78</f>
        <v>127.14611875000037</v>
      </c>
    </row>
    <row r="81" spans="1:9">
      <c r="I81" s="319"/>
    </row>
    <row r="82" spans="1:9">
      <c r="I82" s="319"/>
    </row>
    <row r="83" spans="1:9" ht="15.75">
      <c r="A83" s="153" t="s">
        <v>350</v>
      </c>
      <c r="B83" s="153"/>
      <c r="I83" s="319"/>
    </row>
    <row r="84" spans="1:9" ht="15.75">
      <c r="A84" s="153"/>
      <c r="B84" s="153"/>
      <c r="I84" s="319"/>
    </row>
    <row r="85" spans="1:9">
      <c r="A85" t="s">
        <v>326</v>
      </c>
      <c r="B85" s="354">
        <v>140</v>
      </c>
      <c r="C85" t="s">
        <v>314</v>
      </c>
      <c r="D85" t="s">
        <v>325</v>
      </c>
      <c r="E85" s="152">
        <f>B85/8</f>
        <v>17.5</v>
      </c>
      <c r="I85" s="319"/>
    </row>
    <row r="86" spans="1:9">
      <c r="A86" t="s">
        <v>326</v>
      </c>
      <c r="B86" s="354">
        <v>140</v>
      </c>
      <c r="C86" t="s">
        <v>314</v>
      </c>
      <c r="D86" t="s">
        <v>325</v>
      </c>
      <c r="E86" s="152">
        <f>B86/8</f>
        <v>17.5</v>
      </c>
      <c r="I86" s="319"/>
    </row>
    <row r="87" spans="1:9">
      <c r="E87" s="152"/>
      <c r="I87" s="319"/>
    </row>
    <row r="88" spans="1:9">
      <c r="A88" t="s">
        <v>328</v>
      </c>
      <c r="B88" s="152">
        <f>SUM(B85:B86)</f>
        <v>280</v>
      </c>
      <c r="C88" t="s">
        <v>314</v>
      </c>
      <c r="D88" t="s">
        <v>325</v>
      </c>
      <c r="E88" s="152">
        <f>B88/8</f>
        <v>35</v>
      </c>
      <c r="I88" s="319"/>
    </row>
    <row r="89" spans="1:9">
      <c r="I89" s="319"/>
    </row>
    <row r="90" spans="1:9">
      <c r="A90" t="s">
        <v>319</v>
      </c>
      <c r="B90" s="152">
        <f ca="1">SUM('Carpentry (First-fix)'!D62)+('Plaster, Drylining &amp; Insulation'!D189)</f>
        <v>3650.7012500000001</v>
      </c>
      <c r="D90" t="s">
        <v>316</v>
      </c>
      <c r="E90" s="120">
        <f ca="1">SUM(B90/B88)</f>
        <v>13.03821875</v>
      </c>
      <c r="I90" s="319"/>
    </row>
    <row r="91" spans="1:9">
      <c r="D91" t="s">
        <v>330</v>
      </c>
      <c r="E91" s="355">
        <v>13.5</v>
      </c>
      <c r="I91" s="319"/>
    </row>
    <row r="92" spans="1:9">
      <c r="E92" s="120"/>
      <c r="I92" s="319"/>
    </row>
    <row r="93" spans="1:9">
      <c r="A93" t="s">
        <v>329</v>
      </c>
      <c r="B93" s="152">
        <f ca="1">SUM((E91*B88)-B90)</f>
        <v>129.29874999999993</v>
      </c>
      <c r="I93" s="319"/>
    </row>
    <row r="94" spans="1:9">
      <c r="I94" s="319"/>
    </row>
    <row r="95" spans="1:9">
      <c r="A95" t="s">
        <v>315</v>
      </c>
      <c r="B95" s="152">
        <f ca="1">SUM(B90:B93)</f>
        <v>3780</v>
      </c>
      <c r="I95" s="320">
        <f ca="1">B93</f>
        <v>129.29874999999993</v>
      </c>
    </row>
    <row r="96" spans="1:9">
      <c r="I96" s="319"/>
    </row>
    <row r="97" spans="1:9">
      <c r="I97" s="319"/>
    </row>
    <row r="98" spans="1:9" ht="15.75">
      <c r="A98" s="153" t="s">
        <v>351</v>
      </c>
      <c r="B98" s="153"/>
      <c r="I98" s="319"/>
    </row>
    <row r="99" spans="1:9" ht="15.75">
      <c r="A99" s="153"/>
      <c r="B99" s="153"/>
      <c r="I99" s="319"/>
    </row>
    <row r="100" spans="1:9">
      <c r="A100" t="s">
        <v>326</v>
      </c>
      <c r="B100" s="354">
        <v>140</v>
      </c>
      <c r="C100" t="s">
        <v>314</v>
      </c>
      <c r="D100" t="s">
        <v>325</v>
      </c>
      <c r="E100" s="152">
        <f>B100/8</f>
        <v>17.5</v>
      </c>
      <c r="I100" s="319"/>
    </row>
    <row r="101" spans="1:9">
      <c r="A101" t="s">
        <v>326</v>
      </c>
      <c r="B101" s="354">
        <v>140</v>
      </c>
      <c r="C101" t="s">
        <v>314</v>
      </c>
      <c r="D101" t="s">
        <v>325</v>
      </c>
      <c r="E101" s="152">
        <f>B101/8</f>
        <v>17.5</v>
      </c>
      <c r="I101" s="319"/>
    </row>
    <row r="102" spans="1:9">
      <c r="E102" s="152"/>
      <c r="I102" s="319"/>
    </row>
    <row r="103" spans="1:9">
      <c r="A103" t="s">
        <v>328</v>
      </c>
      <c r="B103" s="152">
        <f>SUM(B100:B101)</f>
        <v>280</v>
      </c>
      <c r="C103" t="s">
        <v>314</v>
      </c>
      <c r="D103" t="s">
        <v>325</v>
      </c>
      <c r="E103" s="152">
        <f>B103/8</f>
        <v>35</v>
      </c>
      <c r="I103" s="319"/>
    </row>
    <row r="104" spans="1:9">
      <c r="I104" s="319"/>
    </row>
    <row r="105" spans="1:9">
      <c r="A105" t="s">
        <v>319</v>
      </c>
      <c r="B105" s="152">
        <f ca="1">SUM('Carpentry (Second-fix)'!D62)</f>
        <v>1468.25</v>
      </c>
      <c r="D105" t="s">
        <v>316</v>
      </c>
      <c r="E105" s="120">
        <f ca="1">SUM(B105/B103)</f>
        <v>5.2437500000000004</v>
      </c>
      <c r="I105" s="319"/>
    </row>
    <row r="106" spans="1:9">
      <c r="D106" t="s">
        <v>330</v>
      </c>
      <c r="E106" s="355">
        <v>5.5</v>
      </c>
      <c r="I106" s="319"/>
    </row>
    <row r="107" spans="1:9">
      <c r="E107" s="120"/>
      <c r="I107" s="319"/>
    </row>
    <row r="108" spans="1:9">
      <c r="A108" t="s">
        <v>329</v>
      </c>
      <c r="B108" s="152">
        <f ca="1">SUM((E106*B103)-B105)</f>
        <v>71.75</v>
      </c>
      <c r="I108" s="319"/>
    </row>
    <row r="109" spans="1:9">
      <c r="I109" s="319"/>
    </row>
    <row r="110" spans="1:9">
      <c r="A110" t="s">
        <v>315</v>
      </c>
      <c r="B110" s="152">
        <f ca="1">SUM(B105:B108)</f>
        <v>1540</v>
      </c>
      <c r="I110" s="320">
        <f ca="1">B108</f>
        <v>71.75</v>
      </c>
    </row>
    <row r="111" spans="1:9">
      <c r="I111" s="319"/>
    </row>
    <row r="112" spans="1:9">
      <c r="I112" s="319"/>
    </row>
    <row r="113" spans="1:9">
      <c r="A113" t="s">
        <v>895</v>
      </c>
      <c r="B113" s="152">
        <f ca="1">B11+B26+B44+B60+B75+B90+B105</f>
        <v>27225.087394375005</v>
      </c>
      <c r="D113" t="s">
        <v>316</v>
      </c>
      <c r="E113" s="120">
        <f>E12+E27+E45+E61+E76+E106</f>
        <v>83</v>
      </c>
      <c r="I113" s="319"/>
    </row>
    <row r="114" spans="1:9" ht="15.75" thickBot="1">
      <c r="I114" s="321"/>
    </row>
    <row r="115" spans="1:9" ht="15.75" thickBot="1">
      <c r="F115" s="393" t="s">
        <v>896</v>
      </c>
      <c r="G115" s="393"/>
      <c r="H115" s="393"/>
      <c r="I115" s="259">
        <f ca="1">SUM(I20:I114)</f>
        <v>3702.9126056250002</v>
      </c>
    </row>
  </sheetData>
  <sheetProtection sheet="1" objects="1" scenarios="1" selectLockedCells="1" selectUnlockedCells="1"/>
  <mergeCells count="3">
    <mergeCell ref="A1:I1"/>
    <mergeCell ref="I2:I3"/>
    <mergeCell ref="F115:H115"/>
  </mergeCells>
  <pageMargins left="0.7" right="0.7" top="0.75" bottom="0.75" header="0.3" footer="0.3"/>
  <pageSetup paperSize="9" orientation="portrait" horizontalDpi="4294967293" r:id="rId1"/>
  <headerFooter>
    <oddHeader>&amp;LBES: 07015&amp;R&amp;F</oddHeader>
    <oddFooter>&amp;L&amp;G B.E.S. Ltd&amp;C&amp;P of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60"/>
  <sheetViews>
    <sheetView view="pageLayout" topLeftCell="A49" workbookViewId="0">
      <selection activeCell="B6" sqref="B6"/>
    </sheetView>
  </sheetViews>
  <sheetFormatPr defaultRowHeight="15"/>
  <cols>
    <col min="1" max="1" width="21.85546875" bestFit="1" customWidth="1"/>
    <col min="3" max="3" width="8.7109375" bestFit="1" customWidth="1"/>
    <col min="4" max="4" width="8.85546875" bestFit="1" customWidth="1"/>
    <col min="5" max="5" width="6.5703125" bestFit="1" customWidth="1"/>
  </cols>
  <sheetData>
    <row r="1" spans="1:8" ht="21.75" thickBot="1">
      <c r="A1" s="384" t="s">
        <v>353</v>
      </c>
      <c r="B1" s="384"/>
      <c r="C1" s="384"/>
      <c r="D1" s="384"/>
      <c r="E1" s="384"/>
      <c r="F1" s="384"/>
      <c r="G1" s="384"/>
      <c r="H1" s="384"/>
    </row>
    <row r="2" spans="1:8">
      <c r="H2" s="391" t="s">
        <v>331</v>
      </c>
    </row>
    <row r="3" spans="1:8" ht="15.75" thickBot="1">
      <c r="H3" s="392"/>
    </row>
    <row r="4" spans="1:8" ht="15.75">
      <c r="A4" s="153" t="s">
        <v>357</v>
      </c>
      <c r="B4" s="153"/>
      <c r="H4" s="319"/>
    </row>
    <row r="5" spans="1:8" ht="15.75">
      <c r="A5" s="153"/>
      <c r="B5" s="153"/>
      <c r="H5" s="319"/>
    </row>
    <row r="6" spans="1:8">
      <c r="A6" t="s">
        <v>338</v>
      </c>
      <c r="B6" s="354">
        <v>180</v>
      </c>
      <c r="H6" s="319"/>
    </row>
    <row r="7" spans="1:8">
      <c r="H7" s="319"/>
    </row>
    <row r="8" spans="1:8">
      <c r="A8" t="s">
        <v>341</v>
      </c>
      <c r="B8" s="152">
        <f>'Site set up &amp; demolitions'!E61</f>
        <v>0</v>
      </c>
      <c r="D8" t="s">
        <v>342</v>
      </c>
      <c r="E8" s="120">
        <f>SUM(B8/B6)</f>
        <v>0</v>
      </c>
      <c r="H8" s="319"/>
    </row>
    <row r="9" spans="1:8">
      <c r="D9" t="s">
        <v>330</v>
      </c>
      <c r="E9" s="355">
        <v>0</v>
      </c>
      <c r="H9" s="319"/>
    </row>
    <row r="10" spans="1:8">
      <c r="E10" s="120"/>
      <c r="H10" s="319"/>
    </row>
    <row r="11" spans="1:8">
      <c r="A11" t="s">
        <v>343</v>
      </c>
      <c r="B11" s="152">
        <f>SUM((E9*B6)-B8)</f>
        <v>0</v>
      </c>
      <c r="H11" s="319"/>
    </row>
    <row r="12" spans="1:8">
      <c r="H12" s="319"/>
    </row>
    <row r="13" spans="1:8">
      <c r="A13" t="s">
        <v>358</v>
      </c>
      <c r="B13" s="152">
        <f>SUM(B8:B11)</f>
        <v>0</v>
      </c>
      <c r="H13" s="320">
        <f>B11</f>
        <v>0</v>
      </c>
    </row>
    <row r="14" spans="1:8">
      <c r="H14" s="319"/>
    </row>
    <row r="15" spans="1:8">
      <c r="H15" s="319"/>
    </row>
    <row r="16" spans="1:8" ht="15.75">
      <c r="A16" s="153" t="s">
        <v>332</v>
      </c>
      <c r="B16" s="153"/>
      <c r="H16" s="319"/>
    </row>
    <row r="17" spans="1:8" ht="15.75">
      <c r="A17" s="153"/>
      <c r="B17" s="153"/>
      <c r="H17" s="319"/>
    </row>
    <row r="18" spans="1:8">
      <c r="A18" t="s">
        <v>333</v>
      </c>
      <c r="B18" s="354">
        <v>200</v>
      </c>
      <c r="C18" t="s">
        <v>314</v>
      </c>
      <c r="D18" t="s">
        <v>325</v>
      </c>
      <c r="E18" s="152">
        <f>B18/8</f>
        <v>25</v>
      </c>
      <c r="H18" s="319"/>
    </row>
    <row r="19" spans="1:8">
      <c r="A19" t="s">
        <v>334</v>
      </c>
      <c r="B19" s="355">
        <v>4</v>
      </c>
      <c r="C19" t="s">
        <v>335</v>
      </c>
      <c r="E19" s="152"/>
      <c r="H19" s="319"/>
    </row>
    <row r="20" spans="1:8">
      <c r="A20" t="s">
        <v>336</v>
      </c>
      <c r="B20" s="355">
        <v>3</v>
      </c>
      <c r="C20" t="s">
        <v>335</v>
      </c>
      <c r="E20" s="152"/>
      <c r="H20" s="319"/>
    </row>
    <row r="21" spans="1:8">
      <c r="H21" s="319"/>
    </row>
    <row r="22" spans="1:8">
      <c r="A22" t="s">
        <v>319</v>
      </c>
      <c r="B22" s="152">
        <f ca="1">SUM('Groundwork (Machine)'!E12*'Groundwork (Machine)'!H12)+('Groundwork (Machine)'!E25*'Groundwork (Machine)'!H25)+('Groundwork (Machine)'!E55*'Groundwork (Machine)'!H55)+('Bel Ground Drain (Storm - Mach)'!E9*'Bel Ground Drain (Storm - Mach)'!H9)+('Bel Ground Drain (Foul - Mach)'!E9*'Bel Ground Drain (Foul - Mach)'!H9)+('Foul Pumping Station'!E8*'Foul Pumping Station'!H8)+('Foul Pumping Station'!E32*'Foul Pumping Station'!H32)+('Foul Pumping Station'!E47*'Foul Pumping Station'!H47)+('Rainwater Attenuation'!E8*'Rainwater Attenuation'!H8)+('Rainwater Attenuation'!E46*'Rainwater Attenuation'!H46)+('Rainwater Harvester'!E8*'Rainwater Harvester'!H8)+('Rainwater Harvester'!E25*'Rainwater Harvester'!H25)+('Rainwater Harvester'!E29*'Rainwater Harvester'!H29)+('External Works'!E9*'External Works'!H9)+('External Works'!E40*'External Works'!H40)+(Services!E61)</f>
        <v>1855.0388645833336</v>
      </c>
      <c r="D22" t="s">
        <v>316</v>
      </c>
      <c r="E22" s="120">
        <f ca="1">SUM(B22/B18)</f>
        <v>9.2751943229166685</v>
      </c>
      <c r="H22" s="319"/>
    </row>
    <row r="23" spans="1:8">
      <c r="D23" t="s">
        <v>330</v>
      </c>
      <c r="E23" s="355">
        <v>9.5</v>
      </c>
      <c r="H23" s="319"/>
    </row>
    <row r="24" spans="1:8">
      <c r="E24" s="355"/>
      <c r="H24" s="319"/>
    </row>
    <row r="25" spans="1:8">
      <c r="A25" t="s">
        <v>329</v>
      </c>
      <c r="B25" s="152">
        <f ca="1">SUM((E23*B18)-B22)</f>
        <v>44.961135416666366</v>
      </c>
      <c r="H25" s="319"/>
    </row>
    <row r="26" spans="1:8">
      <c r="H26" s="319"/>
    </row>
    <row r="27" spans="1:8">
      <c r="A27" t="s">
        <v>315</v>
      </c>
      <c r="B27" s="152">
        <f ca="1">SUM(B22:B25)</f>
        <v>1900</v>
      </c>
      <c r="H27" s="320">
        <f ca="1">B25</f>
        <v>44.961135416666366</v>
      </c>
    </row>
    <row r="28" spans="1:8">
      <c r="H28" s="320"/>
    </row>
    <row r="29" spans="1:8">
      <c r="H29" s="319"/>
    </row>
    <row r="30" spans="1:8" ht="15.75">
      <c r="A30" s="153" t="s">
        <v>337</v>
      </c>
      <c r="B30" s="153"/>
      <c r="H30" s="319"/>
    </row>
    <row r="31" spans="1:8" ht="15.75">
      <c r="A31" s="153"/>
      <c r="B31" s="153"/>
      <c r="H31" s="319"/>
    </row>
    <row r="32" spans="1:8">
      <c r="A32" t="s">
        <v>338</v>
      </c>
      <c r="B32" s="354">
        <v>150</v>
      </c>
      <c r="H32" s="319"/>
    </row>
    <row r="33" spans="1:8">
      <c r="A33" t="s">
        <v>339</v>
      </c>
      <c r="B33" s="355">
        <v>10</v>
      </c>
      <c r="C33" t="s">
        <v>340</v>
      </c>
      <c r="H33" s="319"/>
    </row>
    <row r="34" spans="1:8">
      <c r="H34" s="319"/>
    </row>
    <row r="35" spans="1:8">
      <c r="H35" s="319"/>
    </row>
    <row r="36" spans="1:8">
      <c r="A36" t="s">
        <v>341</v>
      </c>
      <c r="B36" s="152">
        <f ca="1">SUM('Groundwork (Machine)'!E18*'Groundwork (Machine)'!H18)+('Groundwork (Machine)'!E29*'Groundwork (Machine)'!H29)+('Groundwork (Machine)'!E59*'Groundwork (Machine)'!H59)+('Bel Ground Drain (Storm - Mach)'!E13*'Bel Ground Drain (Storm - Mach)'!H13)+('Bel Ground Drain (Foul - Mach)'!E13*'Bel Ground Drain (Foul - Mach)'!H13)+('Foul Pumping Station'!E14*'Foul Pumping Station'!H14)+('Rainwater Attenuation'!E14*'Rainwater Attenuation'!H14)+('Rainwater Harvester'!E14*'Rainwater Harvester'!H14)+('External Works'!E15*'External Works'!H15)+('External Works'!E46*'External Works'!H46)</f>
        <v>3926.4934799999996</v>
      </c>
      <c r="D36" t="s">
        <v>342</v>
      </c>
      <c r="E36" s="120">
        <f ca="1">SUM(B36/B32)</f>
        <v>26.176623199999998</v>
      </c>
      <c r="H36" s="319"/>
    </row>
    <row r="37" spans="1:8">
      <c r="D37" t="s">
        <v>330</v>
      </c>
      <c r="E37" s="355">
        <v>26.5</v>
      </c>
      <c r="H37" s="319"/>
    </row>
    <row r="38" spans="1:8">
      <c r="E38" s="120"/>
      <c r="H38" s="319"/>
    </row>
    <row r="39" spans="1:8">
      <c r="A39" t="s">
        <v>343</v>
      </c>
      <c r="B39" s="152">
        <f ca="1">SUM((E37*B32)-B36)</f>
        <v>48.506520000000364</v>
      </c>
      <c r="H39" s="319"/>
    </row>
    <row r="40" spans="1:8">
      <c r="H40" s="319"/>
    </row>
    <row r="41" spans="1:8">
      <c r="A41" t="s">
        <v>344</v>
      </c>
      <c r="B41" s="152">
        <f ca="1">SUM(B36:B39)</f>
        <v>3975</v>
      </c>
      <c r="H41" s="320">
        <f ca="1">B39</f>
        <v>48.506520000000364</v>
      </c>
    </row>
    <row r="42" spans="1:8">
      <c r="H42" s="319"/>
    </row>
    <row r="43" spans="1:8">
      <c r="H43" s="319"/>
    </row>
    <row r="44" spans="1:8" ht="15.75">
      <c r="A44" s="153" t="s">
        <v>345</v>
      </c>
      <c r="B44" s="153"/>
      <c r="H44" s="319"/>
    </row>
    <row r="45" spans="1:8" ht="15.75">
      <c r="A45" s="153"/>
      <c r="B45" s="153"/>
      <c r="H45" s="319"/>
    </row>
    <row r="46" spans="1:8">
      <c r="A46" t="s">
        <v>338</v>
      </c>
      <c r="B46" s="354">
        <v>180</v>
      </c>
      <c r="H46" s="319"/>
    </row>
    <row r="47" spans="1:8">
      <c r="A47" t="s">
        <v>339</v>
      </c>
      <c r="B47" s="355">
        <v>6</v>
      </c>
      <c r="C47" t="s">
        <v>340</v>
      </c>
      <c r="H47" s="319"/>
    </row>
    <row r="48" spans="1:8">
      <c r="H48" s="319"/>
    </row>
    <row r="49" spans="1:8">
      <c r="H49" s="319"/>
    </row>
    <row r="50" spans="1:8">
      <c r="A50" t="s">
        <v>341</v>
      </c>
      <c r="B50" s="152"/>
      <c r="D50" t="s">
        <v>342</v>
      </c>
      <c r="E50" s="120">
        <f>SUM(B50/B46)</f>
        <v>0</v>
      </c>
      <c r="H50" s="319"/>
    </row>
    <row r="51" spans="1:8">
      <c r="D51" t="s">
        <v>330</v>
      </c>
      <c r="E51" s="355">
        <v>0</v>
      </c>
      <c r="H51" s="319"/>
    </row>
    <row r="52" spans="1:8">
      <c r="E52" s="120"/>
      <c r="H52" s="319"/>
    </row>
    <row r="53" spans="1:8">
      <c r="A53" t="s">
        <v>343</v>
      </c>
      <c r="B53" s="152">
        <f>SUM((E51*B46)-B50)</f>
        <v>0</v>
      </c>
      <c r="H53" s="319"/>
    </row>
    <row r="54" spans="1:8">
      <c r="H54" s="319"/>
    </row>
    <row r="55" spans="1:8">
      <c r="A55" t="s">
        <v>344</v>
      </c>
      <c r="B55" s="152">
        <f>SUM(B50:B53)</f>
        <v>0</v>
      </c>
      <c r="H55" s="320">
        <f>B53</f>
        <v>0</v>
      </c>
    </row>
    <row r="56" spans="1:8">
      <c r="H56" s="319"/>
    </row>
    <row r="57" spans="1:8">
      <c r="H57" s="319"/>
    </row>
    <row r="58" spans="1:8">
      <c r="A58" t="s">
        <v>897</v>
      </c>
      <c r="B58" s="152">
        <f ca="1">B8+B22+B36+B50</f>
        <v>5781.5323445833328</v>
      </c>
      <c r="E58" s="120"/>
      <c r="H58" s="319"/>
    </row>
    <row r="59" spans="1:8" ht="15.75" thickBot="1">
      <c r="H59" s="321"/>
    </row>
    <row r="60" spans="1:8" ht="15.75" thickBot="1">
      <c r="D60" s="393" t="s">
        <v>896</v>
      </c>
      <c r="E60" s="393"/>
      <c r="F60" s="393"/>
      <c r="G60" s="394"/>
      <c r="H60" s="259">
        <f ca="1">SUM(H4:H59)</f>
        <v>93.46765541666673</v>
      </c>
    </row>
  </sheetData>
  <sheetProtection sheet="1" objects="1" scenarios="1" selectLockedCells="1" selectUnlockedCells="1"/>
  <mergeCells count="3">
    <mergeCell ref="A1:H1"/>
    <mergeCell ref="H2:H3"/>
    <mergeCell ref="D60:G60"/>
  </mergeCells>
  <pageMargins left="0.7" right="0.7" top="0.75" bottom="0.75" header="0.3" footer="0.3"/>
  <pageSetup paperSize="9" orientation="portrait" horizontalDpi="4294967293" r:id="rId1"/>
  <headerFooter>
    <oddHeader>&amp;LBES: 07015&amp;R&amp;F</oddHeader>
    <oddFooter>&amp;L&amp;G B.E.S. Ltd&amp;C&amp;P of &amp;N&amp;R&amp;A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M7"/>
  <sheetViews>
    <sheetView workbookViewId="0">
      <selection activeCell="F17" sqref="F17"/>
    </sheetView>
  </sheetViews>
  <sheetFormatPr defaultRowHeight="15"/>
  <sheetData>
    <row r="1" spans="1:13">
      <c r="A1" t="s">
        <v>475</v>
      </c>
      <c r="C1" s="378" t="s">
        <v>363</v>
      </c>
      <c r="D1" s="378"/>
      <c r="F1" s="378" t="s">
        <v>365</v>
      </c>
      <c r="G1" s="378"/>
      <c r="I1" s="378" t="s">
        <v>499</v>
      </c>
      <c r="J1" s="378"/>
      <c r="L1" s="378" t="s">
        <v>364</v>
      </c>
      <c r="M1" s="378"/>
    </row>
    <row r="2" spans="1:13">
      <c r="A2" t="s">
        <v>363</v>
      </c>
      <c r="C2" t="s">
        <v>508</v>
      </c>
      <c r="D2" t="s">
        <v>294</v>
      </c>
      <c r="F2" t="s">
        <v>508</v>
      </c>
      <c r="G2" t="s">
        <v>294</v>
      </c>
      <c r="I2" t="s">
        <v>508</v>
      </c>
      <c r="J2" t="s">
        <v>294</v>
      </c>
      <c r="L2" t="s">
        <v>508</v>
      </c>
      <c r="M2" t="s">
        <v>294</v>
      </c>
    </row>
    <row r="3" spans="1:13">
      <c r="A3" t="s">
        <v>365</v>
      </c>
      <c r="B3" s="152"/>
      <c r="C3" t="s">
        <v>394</v>
      </c>
      <c r="D3" s="152">
        <v>30</v>
      </c>
      <c r="F3" t="s">
        <v>500</v>
      </c>
      <c r="G3" s="152">
        <v>80</v>
      </c>
      <c r="I3" t="s">
        <v>505</v>
      </c>
      <c r="J3" s="152">
        <v>30</v>
      </c>
      <c r="L3" t="s">
        <v>507</v>
      </c>
      <c r="M3" s="152">
        <v>30</v>
      </c>
    </row>
    <row r="4" spans="1:13">
      <c r="A4" t="s">
        <v>499</v>
      </c>
      <c r="B4" s="152"/>
      <c r="F4" t="s">
        <v>501</v>
      </c>
      <c r="G4" s="152">
        <v>80</v>
      </c>
      <c r="I4" t="s">
        <v>506</v>
      </c>
      <c r="J4" s="152">
        <v>30</v>
      </c>
    </row>
    <row r="5" spans="1:13">
      <c r="A5" t="s">
        <v>364</v>
      </c>
      <c r="B5" s="152"/>
      <c r="F5" t="s">
        <v>502</v>
      </c>
      <c r="G5" s="152">
        <v>80</v>
      </c>
    </row>
    <row r="6" spans="1:13">
      <c r="F6" t="s">
        <v>503</v>
      </c>
      <c r="G6" s="152">
        <v>80</v>
      </c>
    </row>
    <row r="7" spans="1:13">
      <c r="F7" t="s">
        <v>504</v>
      </c>
      <c r="G7" s="152">
        <v>80</v>
      </c>
    </row>
  </sheetData>
  <mergeCells count="4">
    <mergeCell ref="C1:D1"/>
    <mergeCell ref="F1:G1"/>
    <mergeCell ref="I1:J1"/>
    <mergeCell ref="L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L14"/>
  <sheetViews>
    <sheetView workbookViewId="0">
      <selection activeCell="J17" sqref="J17"/>
    </sheetView>
  </sheetViews>
  <sheetFormatPr defaultRowHeight="15"/>
  <cols>
    <col min="1" max="1" width="10.7109375" bestFit="1" customWidth="1"/>
    <col min="3" max="3" width="16.85546875" bestFit="1" customWidth="1"/>
    <col min="5" max="5" width="13.140625" bestFit="1" customWidth="1"/>
    <col min="6" max="6" width="13.85546875" bestFit="1" customWidth="1"/>
    <col min="7" max="7" width="11" customWidth="1"/>
    <col min="8" max="8" width="12.140625" bestFit="1" customWidth="1"/>
    <col min="10" max="10" width="9.140625" customWidth="1"/>
  </cols>
  <sheetData>
    <row r="1" spans="1:12">
      <c r="A1" t="s">
        <v>475</v>
      </c>
      <c r="C1" t="s">
        <v>481</v>
      </c>
      <c r="E1" s="378" t="s">
        <v>478</v>
      </c>
      <c r="F1" s="378"/>
      <c r="H1" s="378" t="s">
        <v>479</v>
      </c>
      <c r="I1" s="378"/>
      <c r="K1" s="378" t="s">
        <v>480</v>
      </c>
      <c r="L1" s="378"/>
    </row>
    <row r="2" spans="1:12">
      <c r="A2" t="s">
        <v>370</v>
      </c>
      <c r="C2" t="s">
        <v>478</v>
      </c>
      <c r="E2" t="s">
        <v>164</v>
      </c>
      <c r="F2" t="s">
        <v>286</v>
      </c>
      <c r="H2" t="s">
        <v>164</v>
      </c>
      <c r="I2" t="s">
        <v>286</v>
      </c>
      <c r="K2" t="s">
        <v>164</v>
      </c>
      <c r="L2" t="s">
        <v>286</v>
      </c>
    </row>
    <row r="3" spans="1:12">
      <c r="A3" t="s">
        <v>371</v>
      </c>
      <c r="C3" t="s">
        <v>479</v>
      </c>
      <c r="E3" t="s">
        <v>287</v>
      </c>
      <c r="F3">
        <v>60</v>
      </c>
      <c r="H3" t="s">
        <v>287</v>
      </c>
      <c r="I3">
        <v>120</v>
      </c>
      <c r="K3" t="s">
        <v>287</v>
      </c>
      <c r="L3">
        <v>180</v>
      </c>
    </row>
    <row r="4" spans="1:12">
      <c r="A4" t="s">
        <v>476</v>
      </c>
      <c r="C4" t="s">
        <v>482</v>
      </c>
      <c r="E4" t="s">
        <v>288</v>
      </c>
      <c r="F4">
        <v>90</v>
      </c>
      <c r="H4" t="s">
        <v>288</v>
      </c>
      <c r="I4">
        <v>120</v>
      </c>
      <c r="K4" t="s">
        <v>288</v>
      </c>
      <c r="L4">
        <v>210</v>
      </c>
    </row>
    <row r="5" spans="1:12">
      <c r="A5" t="s">
        <v>477</v>
      </c>
      <c r="E5" t="s">
        <v>289</v>
      </c>
      <c r="F5">
        <v>80</v>
      </c>
      <c r="H5" t="s">
        <v>289</v>
      </c>
      <c r="I5">
        <v>120</v>
      </c>
      <c r="K5" t="s">
        <v>289</v>
      </c>
      <c r="L5">
        <v>200</v>
      </c>
    </row>
    <row r="8" spans="1:12">
      <c r="A8" t="s">
        <v>671</v>
      </c>
      <c r="C8" t="s">
        <v>672</v>
      </c>
      <c r="D8" t="s">
        <v>674</v>
      </c>
      <c r="E8" t="s">
        <v>674</v>
      </c>
      <c r="F8" t="s">
        <v>676</v>
      </c>
      <c r="G8" s="152">
        <v>12.43</v>
      </c>
    </row>
    <row r="9" spans="1:12">
      <c r="A9" t="s">
        <v>672</v>
      </c>
      <c r="D9" t="s">
        <v>675</v>
      </c>
      <c r="F9" t="s">
        <v>684</v>
      </c>
      <c r="G9" s="152">
        <v>18.63</v>
      </c>
    </row>
    <row r="10" spans="1:12">
      <c r="A10" t="s">
        <v>673</v>
      </c>
      <c r="F10" t="s">
        <v>677</v>
      </c>
      <c r="G10" s="152">
        <v>26.71</v>
      </c>
    </row>
    <row r="11" spans="1:12">
      <c r="E11" t="s">
        <v>675</v>
      </c>
      <c r="F11" t="s">
        <v>678</v>
      </c>
      <c r="G11" s="152">
        <v>12.43</v>
      </c>
    </row>
    <row r="12" spans="1:12">
      <c r="C12" t="s">
        <v>673</v>
      </c>
      <c r="D12" t="s">
        <v>680</v>
      </c>
      <c r="F12" t="s">
        <v>679</v>
      </c>
      <c r="G12" s="152">
        <v>26.71</v>
      </c>
    </row>
    <row r="13" spans="1:12">
      <c r="D13" t="s">
        <v>681</v>
      </c>
      <c r="E13" t="s">
        <v>680</v>
      </c>
      <c r="F13" t="s">
        <v>682</v>
      </c>
      <c r="G13" s="152">
        <v>10</v>
      </c>
    </row>
    <row r="14" spans="1:12">
      <c r="E14" t="s">
        <v>681</v>
      </c>
      <c r="F14" t="s">
        <v>683</v>
      </c>
      <c r="G14" s="152">
        <v>16</v>
      </c>
    </row>
  </sheetData>
  <mergeCells count="3">
    <mergeCell ref="E1:F1"/>
    <mergeCell ref="H1:I1"/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M22"/>
  <sheetViews>
    <sheetView workbookViewId="0">
      <selection activeCell="B20" sqref="B20"/>
    </sheetView>
  </sheetViews>
  <sheetFormatPr defaultRowHeight="15"/>
  <cols>
    <col min="1" max="2" width="14.5703125" bestFit="1" customWidth="1"/>
    <col min="3" max="3" width="11.28515625" bestFit="1" customWidth="1"/>
    <col min="4" max="4" width="14.42578125" style="152" bestFit="1" customWidth="1"/>
    <col min="6" max="6" width="13.42578125" bestFit="1" customWidth="1"/>
    <col min="8" max="8" width="13.42578125" bestFit="1" customWidth="1"/>
    <col min="11" max="11" width="17.7109375" bestFit="1" customWidth="1"/>
    <col min="12" max="12" width="9.140625" style="152"/>
    <col min="14" max="14" width="13.85546875" bestFit="1" customWidth="1"/>
    <col min="16" max="16" width="9.5703125" bestFit="1" customWidth="1"/>
    <col min="17" max="17" width="11.28515625" bestFit="1" customWidth="1"/>
    <col min="18" max="18" width="9.140625" style="152"/>
    <col min="20" max="20" width="12.5703125" bestFit="1" customWidth="1"/>
    <col min="23" max="23" width="10.42578125" bestFit="1" customWidth="1"/>
    <col min="25" max="25" width="9.85546875" bestFit="1" customWidth="1"/>
    <col min="26" max="26" width="15.85546875" bestFit="1" customWidth="1"/>
    <col min="27" max="27" width="9.140625" style="152"/>
    <col min="29" max="29" width="14.140625" bestFit="1" customWidth="1"/>
    <col min="31" max="31" width="11.85546875" bestFit="1" customWidth="1"/>
    <col min="32" max="32" width="16.140625" bestFit="1" customWidth="1"/>
    <col min="35" max="35" width="10" bestFit="1" customWidth="1"/>
    <col min="37" max="37" width="10" bestFit="1" customWidth="1"/>
    <col min="38" max="38" width="18" bestFit="1" customWidth="1"/>
    <col min="39" max="39" width="9.140625" style="152"/>
  </cols>
  <sheetData>
    <row r="1" spans="1:39">
      <c r="A1" t="s">
        <v>372</v>
      </c>
      <c r="C1" t="s">
        <v>484</v>
      </c>
      <c r="D1" s="152" t="s">
        <v>485</v>
      </c>
      <c r="F1" t="s">
        <v>602</v>
      </c>
      <c r="N1" t="s">
        <v>733</v>
      </c>
      <c r="T1" t="s">
        <v>761</v>
      </c>
      <c r="U1" t="s">
        <v>294</v>
      </c>
      <c r="W1" t="s">
        <v>781</v>
      </c>
      <c r="AC1" t="s">
        <v>795</v>
      </c>
      <c r="AG1" s="152"/>
      <c r="AI1" t="s">
        <v>801</v>
      </c>
    </row>
    <row r="2" spans="1:39">
      <c r="A2" t="s">
        <v>497</v>
      </c>
      <c r="B2" t="s">
        <v>487</v>
      </c>
      <c r="C2" t="s">
        <v>386</v>
      </c>
      <c r="D2" s="152">
        <v>0.65</v>
      </c>
      <c r="F2" t="s">
        <v>373</v>
      </c>
      <c r="H2" t="s">
        <v>373</v>
      </c>
      <c r="I2" t="s">
        <v>725</v>
      </c>
      <c r="J2" t="s">
        <v>725</v>
      </c>
      <c r="K2" t="s">
        <v>696</v>
      </c>
      <c r="L2" s="152">
        <v>10</v>
      </c>
      <c r="N2" t="s">
        <v>755</v>
      </c>
      <c r="P2" t="s">
        <v>373</v>
      </c>
      <c r="Q2" t="s">
        <v>735</v>
      </c>
      <c r="R2" s="152">
        <v>2</v>
      </c>
      <c r="T2" t="s">
        <v>762</v>
      </c>
      <c r="U2" s="152">
        <v>85</v>
      </c>
      <c r="W2" t="s">
        <v>782</v>
      </c>
      <c r="Y2" t="s">
        <v>784</v>
      </c>
      <c r="Z2" t="s">
        <v>785</v>
      </c>
      <c r="AA2" s="152">
        <v>2.5</v>
      </c>
      <c r="AC2" t="s">
        <v>796</v>
      </c>
      <c r="AE2" t="s">
        <v>796</v>
      </c>
      <c r="AF2" t="s">
        <v>798</v>
      </c>
      <c r="AG2" s="152">
        <v>7.5</v>
      </c>
      <c r="AI2" t="s">
        <v>802</v>
      </c>
      <c r="AK2" t="s">
        <v>802</v>
      </c>
      <c r="AL2" t="s">
        <v>804</v>
      </c>
      <c r="AM2" s="152">
        <v>650</v>
      </c>
    </row>
    <row r="3" spans="1:39">
      <c r="A3" t="s">
        <v>498</v>
      </c>
      <c r="C3" t="s">
        <v>488</v>
      </c>
      <c r="D3" s="152">
        <v>0.94</v>
      </c>
      <c r="F3" t="s">
        <v>693</v>
      </c>
      <c r="I3" t="s">
        <v>718</v>
      </c>
      <c r="K3" t="s">
        <v>697</v>
      </c>
      <c r="L3" s="152">
        <v>11</v>
      </c>
      <c r="N3" t="s">
        <v>734</v>
      </c>
      <c r="Q3" t="s">
        <v>736</v>
      </c>
      <c r="R3" s="152">
        <v>2.5</v>
      </c>
      <c r="T3" t="s">
        <v>428</v>
      </c>
      <c r="U3" s="152">
        <v>45</v>
      </c>
      <c r="W3" t="s">
        <v>783</v>
      </c>
      <c r="Z3" t="s">
        <v>786</v>
      </c>
      <c r="AA3" s="152">
        <v>3.5</v>
      </c>
      <c r="AC3" t="s">
        <v>797</v>
      </c>
      <c r="AE3" t="s">
        <v>797</v>
      </c>
      <c r="AF3" t="s">
        <v>799</v>
      </c>
      <c r="AG3" s="152">
        <v>15</v>
      </c>
      <c r="AI3" t="s">
        <v>803</v>
      </c>
      <c r="AL3" t="s">
        <v>805</v>
      </c>
      <c r="AM3" s="152">
        <v>850</v>
      </c>
    </row>
    <row r="4" spans="1:39">
      <c r="A4" t="s">
        <v>495</v>
      </c>
      <c r="C4" t="s">
        <v>489</v>
      </c>
      <c r="D4" s="152">
        <v>1.24</v>
      </c>
      <c r="F4" t="s">
        <v>694</v>
      </c>
      <c r="I4" t="s">
        <v>720</v>
      </c>
      <c r="J4" t="s">
        <v>718</v>
      </c>
      <c r="K4" t="s">
        <v>698</v>
      </c>
      <c r="L4" s="152">
        <v>14.8</v>
      </c>
      <c r="N4" t="s">
        <v>756</v>
      </c>
      <c r="Q4" t="s">
        <v>737</v>
      </c>
      <c r="R4" s="152">
        <v>3</v>
      </c>
      <c r="T4" t="s">
        <v>763</v>
      </c>
      <c r="U4" s="152">
        <v>40</v>
      </c>
      <c r="Z4" t="s">
        <v>787</v>
      </c>
      <c r="AA4" s="152">
        <v>4.5</v>
      </c>
      <c r="AK4" t="s">
        <v>803</v>
      </c>
      <c r="AL4" t="s">
        <v>806</v>
      </c>
      <c r="AM4" s="152">
        <v>1500</v>
      </c>
    </row>
    <row r="5" spans="1:39">
      <c r="A5" t="s">
        <v>496</v>
      </c>
      <c r="C5" t="s">
        <v>490</v>
      </c>
      <c r="D5" s="152">
        <v>1.55</v>
      </c>
      <c r="F5" t="s">
        <v>695</v>
      </c>
      <c r="K5" t="s">
        <v>699</v>
      </c>
      <c r="L5" s="152">
        <v>15.05</v>
      </c>
      <c r="Q5" t="s">
        <v>738</v>
      </c>
      <c r="R5" s="152">
        <v>3.5</v>
      </c>
      <c r="T5" t="s">
        <v>764</v>
      </c>
      <c r="U5" s="152">
        <v>25</v>
      </c>
      <c r="Y5" t="s">
        <v>791</v>
      </c>
      <c r="Z5" t="s">
        <v>788</v>
      </c>
      <c r="AA5" s="152">
        <v>7.5</v>
      </c>
      <c r="AL5" t="s">
        <v>807</v>
      </c>
      <c r="AM5" s="152">
        <v>2000</v>
      </c>
    </row>
    <row r="6" spans="1:39">
      <c r="C6" t="s">
        <v>491</v>
      </c>
      <c r="D6" s="152">
        <v>1.85</v>
      </c>
      <c r="J6" t="s">
        <v>720</v>
      </c>
      <c r="K6" t="s">
        <v>700</v>
      </c>
      <c r="L6" s="152">
        <v>15</v>
      </c>
      <c r="P6" t="s">
        <v>734</v>
      </c>
      <c r="Q6" t="s">
        <v>739</v>
      </c>
      <c r="R6" s="152">
        <v>6.5</v>
      </c>
      <c r="Z6" t="s">
        <v>789</v>
      </c>
      <c r="AA6" s="152">
        <v>8.5</v>
      </c>
    </row>
    <row r="7" spans="1:39">
      <c r="C7" t="s">
        <v>492</v>
      </c>
      <c r="D7" s="152">
        <v>2.15</v>
      </c>
      <c r="K7" t="s">
        <v>701</v>
      </c>
      <c r="L7" s="152">
        <v>24</v>
      </c>
      <c r="Q7" t="s">
        <v>740</v>
      </c>
      <c r="R7" s="152">
        <v>7.5</v>
      </c>
      <c r="Z7" t="s">
        <v>790</v>
      </c>
      <c r="AA7" s="152">
        <v>9.5</v>
      </c>
    </row>
    <row r="8" spans="1:39">
      <c r="C8" t="s">
        <v>493</v>
      </c>
      <c r="D8" s="152">
        <v>2.4700000000000002</v>
      </c>
      <c r="H8" t="s">
        <v>693</v>
      </c>
      <c r="I8" t="s">
        <v>726</v>
      </c>
      <c r="J8" t="s">
        <v>726</v>
      </c>
      <c r="K8" t="s">
        <v>702</v>
      </c>
      <c r="L8" s="152">
        <v>28.92</v>
      </c>
      <c r="Q8" t="s">
        <v>741</v>
      </c>
      <c r="R8" s="152">
        <v>8.5</v>
      </c>
    </row>
    <row r="9" spans="1:39">
      <c r="C9" t="s">
        <v>494</v>
      </c>
      <c r="D9" s="152">
        <v>2.78</v>
      </c>
      <c r="I9" t="s">
        <v>716</v>
      </c>
      <c r="K9" t="s">
        <v>703</v>
      </c>
      <c r="L9" s="152">
        <v>30.17</v>
      </c>
      <c r="Q9" t="s">
        <v>742</v>
      </c>
      <c r="R9" s="152">
        <v>9.5</v>
      </c>
    </row>
    <row r="10" spans="1:39">
      <c r="B10" t="s">
        <v>486</v>
      </c>
      <c r="C10" t="s">
        <v>386</v>
      </c>
      <c r="D10" s="152">
        <v>0.75</v>
      </c>
      <c r="I10" t="s">
        <v>717</v>
      </c>
      <c r="K10" t="s">
        <v>704</v>
      </c>
      <c r="L10" s="152">
        <v>19.75</v>
      </c>
      <c r="Q10" t="s">
        <v>744</v>
      </c>
      <c r="R10" s="152">
        <v>10.5</v>
      </c>
    </row>
    <row r="11" spans="1:39">
      <c r="C11" t="s">
        <v>488</v>
      </c>
      <c r="D11" s="152">
        <v>1.0900000000000001</v>
      </c>
      <c r="J11" t="s">
        <v>716</v>
      </c>
      <c r="K11" t="s">
        <v>705</v>
      </c>
      <c r="L11" s="152">
        <v>41.44</v>
      </c>
      <c r="Q11" t="s">
        <v>751</v>
      </c>
      <c r="R11" s="152">
        <v>6</v>
      </c>
    </row>
    <row r="12" spans="1:39">
      <c r="C12" t="s">
        <v>489</v>
      </c>
      <c r="D12" s="152">
        <v>1.44</v>
      </c>
      <c r="J12" t="s">
        <v>717</v>
      </c>
      <c r="K12" t="s">
        <v>708</v>
      </c>
      <c r="L12" s="152">
        <v>37.74</v>
      </c>
      <c r="Q12" t="s">
        <v>752</v>
      </c>
      <c r="R12" s="152">
        <v>7</v>
      </c>
    </row>
    <row r="13" spans="1:39">
      <c r="C13" t="s">
        <v>490</v>
      </c>
      <c r="D13" s="152">
        <v>1.8</v>
      </c>
      <c r="K13" t="s">
        <v>709</v>
      </c>
      <c r="L13" s="152">
        <v>38.64</v>
      </c>
      <c r="Q13" t="s">
        <v>753</v>
      </c>
      <c r="R13" s="152">
        <v>8</v>
      </c>
      <c r="W13" t="s">
        <v>814</v>
      </c>
      <c r="Y13" t="s">
        <v>814</v>
      </c>
      <c r="Z13" t="s">
        <v>816</v>
      </c>
      <c r="AA13" s="152">
        <v>2.5</v>
      </c>
      <c r="AC13" t="s">
        <v>828</v>
      </c>
      <c r="AE13" t="s">
        <v>828</v>
      </c>
      <c r="AF13" t="s">
        <v>816</v>
      </c>
      <c r="AG13" s="152">
        <v>3.5</v>
      </c>
    </row>
    <row r="14" spans="1:39">
      <c r="C14" t="s">
        <v>491</v>
      </c>
      <c r="D14" s="152">
        <v>2.16</v>
      </c>
      <c r="K14" t="s">
        <v>710</v>
      </c>
      <c r="L14" s="152">
        <v>23.22</v>
      </c>
      <c r="Q14" t="s">
        <v>754</v>
      </c>
      <c r="R14" s="152">
        <v>9</v>
      </c>
      <c r="W14" t="s">
        <v>815</v>
      </c>
      <c r="Z14" t="s">
        <v>817</v>
      </c>
      <c r="AA14" s="152">
        <v>2.5</v>
      </c>
      <c r="AC14" t="s">
        <v>829</v>
      </c>
      <c r="AF14" t="s">
        <v>817</v>
      </c>
      <c r="AG14" s="152">
        <v>3.5</v>
      </c>
    </row>
    <row r="15" spans="1:39">
      <c r="C15" t="s">
        <v>492</v>
      </c>
      <c r="D15" s="152">
        <v>2.42</v>
      </c>
      <c r="H15" t="s">
        <v>719</v>
      </c>
      <c r="I15" t="s">
        <v>727</v>
      </c>
      <c r="J15" t="s">
        <v>727</v>
      </c>
      <c r="K15" t="s">
        <v>707</v>
      </c>
      <c r="L15" s="152">
        <v>21.76</v>
      </c>
      <c r="P15" t="s">
        <v>403</v>
      </c>
      <c r="Q15" t="s">
        <v>743</v>
      </c>
      <c r="R15" s="152">
        <v>3.75</v>
      </c>
      <c r="Z15" t="s">
        <v>818</v>
      </c>
      <c r="AA15" s="152">
        <v>2.5</v>
      </c>
      <c r="AF15" t="s">
        <v>818</v>
      </c>
      <c r="AG15" s="152">
        <v>3.5</v>
      </c>
    </row>
    <row r="16" spans="1:39">
      <c r="C16" t="s">
        <v>493</v>
      </c>
      <c r="D16" s="152">
        <v>2.87</v>
      </c>
      <c r="I16" t="s">
        <v>721</v>
      </c>
      <c r="J16" t="s">
        <v>721</v>
      </c>
      <c r="K16" t="s">
        <v>706</v>
      </c>
      <c r="L16" s="152">
        <v>23.73</v>
      </c>
      <c r="Q16" t="s">
        <v>745</v>
      </c>
      <c r="R16" s="152">
        <v>4.5</v>
      </c>
      <c r="Z16" t="s">
        <v>819</v>
      </c>
      <c r="AA16" s="152">
        <v>2.5</v>
      </c>
      <c r="AF16" t="s">
        <v>819</v>
      </c>
      <c r="AG16" s="152">
        <v>3.5</v>
      </c>
    </row>
    <row r="17" spans="2:33">
      <c r="C17" t="s">
        <v>494</v>
      </c>
      <c r="D17" s="152">
        <v>3.27</v>
      </c>
      <c r="I17" t="s">
        <v>722</v>
      </c>
      <c r="J17" t="s">
        <v>722</v>
      </c>
      <c r="K17" t="s">
        <v>711</v>
      </c>
      <c r="L17" s="152">
        <v>26.28</v>
      </c>
      <c r="Q17" t="s">
        <v>746</v>
      </c>
      <c r="R17" s="152">
        <v>5.25</v>
      </c>
      <c r="Z17" t="s">
        <v>820</v>
      </c>
      <c r="AA17" s="152">
        <v>2.5</v>
      </c>
      <c r="AF17" t="s">
        <v>820</v>
      </c>
      <c r="AG17" s="152">
        <v>3.5</v>
      </c>
    </row>
    <row r="18" spans="2:33">
      <c r="B18" t="s">
        <v>495</v>
      </c>
      <c r="C18" t="s">
        <v>488</v>
      </c>
      <c r="D18" s="152">
        <v>1.99</v>
      </c>
      <c r="K18" t="s">
        <v>712</v>
      </c>
      <c r="L18" s="152">
        <v>21.62</v>
      </c>
      <c r="Q18" t="s">
        <v>747</v>
      </c>
      <c r="R18" s="152">
        <v>2</v>
      </c>
      <c r="Y18" t="s">
        <v>815</v>
      </c>
      <c r="Z18" t="s">
        <v>821</v>
      </c>
      <c r="AA18" s="152">
        <v>6</v>
      </c>
      <c r="AE18" t="s">
        <v>829</v>
      </c>
      <c r="AF18" t="s">
        <v>821</v>
      </c>
      <c r="AG18" s="152">
        <v>9.5</v>
      </c>
    </row>
    <row r="19" spans="2:33">
      <c r="C19" t="s">
        <v>489</v>
      </c>
      <c r="D19" s="152">
        <v>2.52</v>
      </c>
      <c r="K19" t="s">
        <v>713</v>
      </c>
      <c r="L19" s="152">
        <v>20.81</v>
      </c>
      <c r="Q19" t="s">
        <v>748</v>
      </c>
      <c r="R19" s="152">
        <v>3</v>
      </c>
      <c r="Z19" t="s">
        <v>822</v>
      </c>
      <c r="AA19" s="152">
        <v>6</v>
      </c>
      <c r="AF19" t="s">
        <v>822</v>
      </c>
      <c r="AG19" s="152">
        <v>9.5</v>
      </c>
    </row>
    <row r="20" spans="2:33">
      <c r="H20" t="s">
        <v>695</v>
      </c>
      <c r="I20" t="s">
        <v>723</v>
      </c>
      <c r="J20" t="s">
        <v>723</v>
      </c>
      <c r="K20" t="s">
        <v>714</v>
      </c>
      <c r="L20" s="152">
        <v>25.37</v>
      </c>
      <c r="Q20" t="s">
        <v>749</v>
      </c>
      <c r="R20" s="152">
        <v>4</v>
      </c>
      <c r="Z20" t="s">
        <v>823</v>
      </c>
      <c r="AA20" s="152">
        <v>6</v>
      </c>
      <c r="AF20" t="s">
        <v>823</v>
      </c>
      <c r="AG20" s="152">
        <v>9.5</v>
      </c>
    </row>
    <row r="21" spans="2:33">
      <c r="I21" t="s">
        <v>724</v>
      </c>
      <c r="J21" t="s">
        <v>724</v>
      </c>
      <c r="K21" t="s">
        <v>715</v>
      </c>
      <c r="L21" s="152">
        <v>25.37</v>
      </c>
      <c r="Q21" t="s">
        <v>750</v>
      </c>
      <c r="R21" s="152">
        <v>5</v>
      </c>
      <c r="Z21" t="s">
        <v>824</v>
      </c>
      <c r="AA21" s="152">
        <v>6</v>
      </c>
      <c r="AF21" t="s">
        <v>824</v>
      </c>
      <c r="AG21" s="152">
        <v>9.5</v>
      </c>
    </row>
    <row r="22" spans="2:33">
      <c r="Z22" t="s">
        <v>825</v>
      </c>
      <c r="AA22" s="152">
        <v>6</v>
      </c>
      <c r="AF22" t="s">
        <v>825</v>
      </c>
      <c r="AG22" s="152">
        <v>9.5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L82"/>
  <sheetViews>
    <sheetView topLeftCell="A50" workbookViewId="0">
      <selection activeCell="G27" sqref="G27"/>
    </sheetView>
  </sheetViews>
  <sheetFormatPr defaultRowHeight="15"/>
  <cols>
    <col min="1" max="1" width="13.140625" bestFit="1" customWidth="1"/>
    <col min="2" max="2" width="13.140625" customWidth="1"/>
    <col min="3" max="4" width="12.28515625" bestFit="1" customWidth="1"/>
    <col min="5" max="5" width="20.5703125" bestFit="1" customWidth="1"/>
    <col min="9" max="9" width="11.7109375" bestFit="1" customWidth="1"/>
    <col min="10" max="10" width="12.28515625" bestFit="1" customWidth="1"/>
    <col min="11" max="11" width="12.140625" bestFit="1" customWidth="1"/>
  </cols>
  <sheetData>
    <row r="1" spans="1:11" s="88" customFormat="1">
      <c r="A1" s="88" t="s">
        <v>359</v>
      </c>
      <c r="C1" s="88" t="s">
        <v>297</v>
      </c>
      <c r="F1" s="88" t="s">
        <v>294</v>
      </c>
    </row>
    <row r="2" spans="1:11">
      <c r="A2" s="256" t="s">
        <v>293</v>
      </c>
      <c r="B2" s="256" t="s">
        <v>293</v>
      </c>
      <c r="C2" t="s">
        <v>295</v>
      </c>
      <c r="D2" t="s">
        <v>295</v>
      </c>
      <c r="E2" t="s">
        <v>528</v>
      </c>
      <c r="F2" s="152">
        <v>3.5</v>
      </c>
      <c r="I2" t="s">
        <v>407</v>
      </c>
      <c r="J2" t="s">
        <v>603</v>
      </c>
      <c r="K2" s="152">
        <v>5</v>
      </c>
    </row>
    <row r="3" spans="1:11">
      <c r="A3" s="256" t="s">
        <v>515</v>
      </c>
      <c r="B3" s="255"/>
      <c r="C3" t="s">
        <v>296</v>
      </c>
      <c r="E3" t="s">
        <v>530</v>
      </c>
      <c r="F3" s="152">
        <v>4</v>
      </c>
      <c r="J3" t="s">
        <v>604</v>
      </c>
      <c r="K3" s="152">
        <v>5</v>
      </c>
    </row>
    <row r="4" spans="1:11">
      <c r="A4" s="256" t="s">
        <v>516</v>
      </c>
      <c r="C4" t="s">
        <v>509</v>
      </c>
      <c r="E4" t="s">
        <v>529</v>
      </c>
      <c r="F4" s="152">
        <v>4.5</v>
      </c>
      <c r="J4" t="s">
        <v>605</v>
      </c>
      <c r="K4" s="152">
        <v>5</v>
      </c>
    </row>
    <row r="5" spans="1:11">
      <c r="A5" s="256" t="s">
        <v>517</v>
      </c>
      <c r="C5" t="s">
        <v>510</v>
      </c>
      <c r="E5" t="s">
        <v>531</v>
      </c>
      <c r="F5" s="152">
        <v>5</v>
      </c>
      <c r="J5" t="s">
        <v>606</v>
      </c>
      <c r="K5" s="152">
        <v>5.5</v>
      </c>
    </row>
    <row r="6" spans="1:11">
      <c r="A6" s="256"/>
      <c r="C6" t="s">
        <v>883</v>
      </c>
      <c r="E6" t="s">
        <v>532</v>
      </c>
      <c r="F6" s="152">
        <v>5.5</v>
      </c>
      <c r="J6" t="s">
        <v>607</v>
      </c>
      <c r="K6" s="152">
        <v>5.5</v>
      </c>
    </row>
    <row r="7" spans="1:11">
      <c r="E7" t="s">
        <v>533</v>
      </c>
      <c r="F7" s="152">
        <v>6</v>
      </c>
      <c r="J7" t="s">
        <v>608</v>
      </c>
      <c r="K7" s="152">
        <v>5.5</v>
      </c>
    </row>
    <row r="8" spans="1:11">
      <c r="E8" t="s">
        <v>534</v>
      </c>
      <c r="F8" s="152">
        <v>6.5</v>
      </c>
    </row>
    <row r="9" spans="1:11">
      <c r="D9" t="s">
        <v>296</v>
      </c>
      <c r="E9" t="s">
        <v>535</v>
      </c>
      <c r="F9" s="152">
        <v>6.5</v>
      </c>
    </row>
    <row r="10" spans="1:11">
      <c r="E10" t="s">
        <v>536</v>
      </c>
      <c r="F10" s="152">
        <v>7.5</v>
      </c>
    </row>
    <row r="11" spans="1:11">
      <c r="E11" t="s">
        <v>537</v>
      </c>
      <c r="F11" s="152">
        <v>8</v>
      </c>
    </row>
    <row r="12" spans="1:11">
      <c r="E12" t="s">
        <v>538</v>
      </c>
      <c r="F12" s="152">
        <v>8.5</v>
      </c>
    </row>
    <row r="13" spans="1:11">
      <c r="E13" t="s">
        <v>539</v>
      </c>
      <c r="F13" s="152">
        <v>9</v>
      </c>
    </row>
    <row r="14" spans="1:11">
      <c r="E14" t="s">
        <v>540</v>
      </c>
      <c r="F14" s="152">
        <v>9.5</v>
      </c>
    </row>
    <row r="15" spans="1:11">
      <c r="E15" t="s">
        <v>541</v>
      </c>
      <c r="F15" s="152">
        <v>10.5</v>
      </c>
    </row>
    <row r="16" spans="1:11">
      <c r="E16" t="s">
        <v>542</v>
      </c>
      <c r="F16" s="152">
        <v>11</v>
      </c>
    </row>
    <row r="17" spans="4:12">
      <c r="E17" t="s">
        <v>543</v>
      </c>
      <c r="F17" s="152">
        <v>11.5</v>
      </c>
      <c r="L17" s="152"/>
    </row>
    <row r="18" spans="4:12">
      <c r="E18" t="s">
        <v>544</v>
      </c>
      <c r="F18" s="152">
        <v>12</v>
      </c>
      <c r="L18" s="152"/>
    </row>
    <row r="19" spans="4:12">
      <c r="E19" t="s">
        <v>545</v>
      </c>
      <c r="F19" s="152">
        <v>12.5</v>
      </c>
      <c r="L19" s="152"/>
    </row>
    <row r="20" spans="4:12">
      <c r="D20" t="s">
        <v>509</v>
      </c>
      <c r="E20" t="s">
        <v>546</v>
      </c>
      <c r="F20" s="152">
        <v>13</v>
      </c>
      <c r="L20" s="152"/>
    </row>
    <row r="21" spans="4:12">
      <c r="E21" t="s">
        <v>547</v>
      </c>
      <c r="F21" s="152">
        <v>14</v>
      </c>
      <c r="L21" s="152"/>
    </row>
    <row r="22" spans="4:12">
      <c r="E22" t="s">
        <v>548</v>
      </c>
      <c r="F22" s="152">
        <v>16</v>
      </c>
      <c r="L22" s="152"/>
    </row>
    <row r="23" spans="4:12">
      <c r="E23" t="s">
        <v>549</v>
      </c>
      <c r="F23" s="152">
        <v>17</v>
      </c>
      <c r="L23" s="152"/>
    </row>
    <row r="24" spans="4:12">
      <c r="E24" t="s">
        <v>550</v>
      </c>
      <c r="F24" s="152">
        <v>18</v>
      </c>
      <c r="L24" s="152"/>
    </row>
    <row r="25" spans="4:12">
      <c r="E25" t="s">
        <v>551</v>
      </c>
      <c r="F25" s="152">
        <v>20.5</v>
      </c>
      <c r="L25" s="152"/>
    </row>
    <row r="26" spans="4:12">
      <c r="E26" t="s">
        <v>552</v>
      </c>
      <c r="F26" s="152">
        <v>25</v>
      </c>
      <c r="L26" s="152"/>
    </row>
    <row r="27" spans="4:12">
      <c r="D27" t="s">
        <v>510</v>
      </c>
      <c r="E27" t="s">
        <v>553</v>
      </c>
      <c r="F27" s="152">
        <v>20.5</v>
      </c>
      <c r="L27" s="152"/>
    </row>
    <row r="28" spans="4:12">
      <c r="E28" t="s">
        <v>554</v>
      </c>
      <c r="F28" s="152">
        <v>21</v>
      </c>
      <c r="L28" s="152"/>
    </row>
    <row r="29" spans="4:12">
      <c r="E29" t="s">
        <v>555</v>
      </c>
      <c r="F29" s="152">
        <v>24.5</v>
      </c>
    </row>
    <row r="30" spans="4:12">
      <c r="E30" t="s">
        <v>556</v>
      </c>
      <c r="F30" s="152">
        <v>25</v>
      </c>
    </row>
    <row r="31" spans="4:12">
      <c r="D31" t="s">
        <v>883</v>
      </c>
      <c r="E31" t="s">
        <v>884</v>
      </c>
      <c r="F31" s="152">
        <v>9.5</v>
      </c>
    </row>
    <row r="32" spans="4:12">
      <c r="E32" t="s">
        <v>885</v>
      </c>
      <c r="F32" s="152">
        <v>11</v>
      </c>
    </row>
    <row r="33" spans="2:6">
      <c r="E33" t="s">
        <v>886</v>
      </c>
      <c r="F33" s="152">
        <v>12</v>
      </c>
    </row>
    <row r="34" spans="2:6">
      <c r="E34" t="s">
        <v>887</v>
      </c>
      <c r="F34" s="152">
        <v>12.5</v>
      </c>
    </row>
    <row r="35" spans="2:6">
      <c r="E35" t="s">
        <v>888</v>
      </c>
      <c r="F35" s="152">
        <v>13.5</v>
      </c>
    </row>
    <row r="36" spans="2:6">
      <c r="E36" t="s">
        <v>889</v>
      </c>
      <c r="F36" s="152">
        <v>14</v>
      </c>
    </row>
    <row r="37" spans="2:6">
      <c r="E37" t="s">
        <v>890</v>
      </c>
      <c r="F37" s="152">
        <v>14.5</v>
      </c>
    </row>
    <row r="38" spans="2:6">
      <c r="B38" s="256" t="s">
        <v>515</v>
      </c>
      <c r="C38" t="s">
        <v>526</v>
      </c>
      <c r="D38" s="281" t="s">
        <v>523</v>
      </c>
      <c r="E38" t="s">
        <v>298</v>
      </c>
      <c r="F38" s="152">
        <v>6.5</v>
      </c>
    </row>
    <row r="39" spans="2:6">
      <c r="B39" s="255"/>
      <c r="C39" t="s">
        <v>527</v>
      </c>
      <c r="E39" t="s">
        <v>299</v>
      </c>
      <c r="F39" s="152">
        <v>7</v>
      </c>
    </row>
    <row r="40" spans="2:6">
      <c r="C40" t="s">
        <v>525</v>
      </c>
      <c r="E40" t="s">
        <v>300</v>
      </c>
      <c r="F40" s="152">
        <v>8.5</v>
      </c>
    </row>
    <row r="41" spans="2:6">
      <c r="C41" t="s">
        <v>873</v>
      </c>
      <c r="E41" t="s">
        <v>301</v>
      </c>
      <c r="F41" s="152">
        <v>10</v>
      </c>
    </row>
    <row r="42" spans="2:6">
      <c r="D42" t="s">
        <v>524</v>
      </c>
      <c r="E42" t="s">
        <v>301</v>
      </c>
      <c r="F42" s="152">
        <v>10</v>
      </c>
    </row>
    <row r="43" spans="2:6">
      <c r="E43" t="s">
        <v>302</v>
      </c>
      <c r="F43" s="152">
        <v>11.5</v>
      </c>
    </row>
    <row r="44" spans="2:6">
      <c r="E44" t="s">
        <v>303</v>
      </c>
      <c r="F44" s="152">
        <v>13.5</v>
      </c>
    </row>
    <row r="45" spans="2:6">
      <c r="E45" t="s">
        <v>304</v>
      </c>
      <c r="F45" s="152">
        <v>14.5</v>
      </c>
    </row>
    <row r="46" spans="2:6">
      <c r="E46" t="s">
        <v>305</v>
      </c>
      <c r="F46" s="152">
        <v>15.5</v>
      </c>
    </row>
    <row r="47" spans="2:6">
      <c r="E47" t="s">
        <v>306</v>
      </c>
      <c r="F47" s="152">
        <v>17</v>
      </c>
    </row>
    <row r="48" spans="2:6">
      <c r="E48" t="s">
        <v>307</v>
      </c>
      <c r="F48" s="152">
        <v>18.5</v>
      </c>
    </row>
    <row r="49" spans="2:6">
      <c r="D49" t="s">
        <v>525</v>
      </c>
      <c r="E49" t="s">
        <v>511</v>
      </c>
      <c r="F49" s="152">
        <v>14</v>
      </c>
    </row>
    <row r="50" spans="2:6">
      <c r="E50" t="s">
        <v>512</v>
      </c>
      <c r="F50" s="152">
        <v>15</v>
      </c>
    </row>
    <row r="51" spans="2:6">
      <c r="E51" t="s">
        <v>513</v>
      </c>
      <c r="F51" s="152">
        <v>17</v>
      </c>
    </row>
    <row r="52" spans="2:6">
      <c r="E52" t="s">
        <v>514</v>
      </c>
      <c r="F52" s="152">
        <v>18</v>
      </c>
    </row>
    <row r="53" spans="2:6">
      <c r="D53" t="s">
        <v>872</v>
      </c>
      <c r="E53" t="s">
        <v>874</v>
      </c>
      <c r="F53" s="152">
        <v>11.5</v>
      </c>
    </row>
    <row r="54" spans="2:6">
      <c r="E54" t="s">
        <v>875</v>
      </c>
      <c r="F54" s="152">
        <v>13</v>
      </c>
    </row>
    <row r="55" spans="2:6">
      <c r="E55" t="s">
        <v>876</v>
      </c>
      <c r="F55" s="152">
        <v>13.5</v>
      </c>
    </row>
    <row r="56" spans="2:6">
      <c r="E56" t="s">
        <v>877</v>
      </c>
      <c r="F56" s="152">
        <v>14</v>
      </c>
    </row>
    <row r="57" spans="2:6">
      <c r="E57" t="s">
        <v>878</v>
      </c>
      <c r="F57" s="152">
        <v>15</v>
      </c>
    </row>
    <row r="58" spans="2:6">
      <c r="E58" t="s">
        <v>879</v>
      </c>
      <c r="F58" s="152">
        <v>16</v>
      </c>
    </row>
    <row r="59" spans="2:6">
      <c r="E59" t="s">
        <v>880</v>
      </c>
      <c r="F59" s="152">
        <v>15.6</v>
      </c>
    </row>
    <row r="60" spans="2:6">
      <c r="E60" t="s">
        <v>881</v>
      </c>
      <c r="F60" s="152">
        <v>20</v>
      </c>
    </row>
    <row r="61" spans="2:6">
      <c r="E61" t="s">
        <v>882</v>
      </c>
      <c r="F61" s="152">
        <v>23</v>
      </c>
    </row>
    <row r="62" spans="2:6">
      <c r="B62" t="s">
        <v>516</v>
      </c>
      <c r="C62" t="s">
        <v>582</v>
      </c>
      <c r="D62" t="s">
        <v>557</v>
      </c>
      <c r="E62" t="s">
        <v>559</v>
      </c>
      <c r="F62" s="152">
        <v>2</v>
      </c>
    </row>
    <row r="63" spans="2:6">
      <c r="C63" t="s">
        <v>583</v>
      </c>
      <c r="E63" t="s">
        <v>560</v>
      </c>
      <c r="F63" s="152">
        <v>3</v>
      </c>
    </row>
    <row r="64" spans="2:6">
      <c r="C64" t="s">
        <v>392</v>
      </c>
      <c r="E64" t="s">
        <v>561</v>
      </c>
      <c r="F64" s="152">
        <v>3.5</v>
      </c>
    </row>
    <row r="65" spans="2:6">
      <c r="E65" t="s">
        <v>562</v>
      </c>
      <c r="F65" s="152">
        <v>4</v>
      </c>
    </row>
    <row r="66" spans="2:6">
      <c r="D66" t="s">
        <v>558</v>
      </c>
      <c r="E66" t="s">
        <v>563</v>
      </c>
      <c r="F66" s="152">
        <v>2</v>
      </c>
    </row>
    <row r="67" spans="2:6">
      <c r="E67" t="s">
        <v>564</v>
      </c>
      <c r="F67" s="152">
        <v>2.5</v>
      </c>
    </row>
    <row r="68" spans="2:6">
      <c r="E68" t="s">
        <v>565</v>
      </c>
      <c r="F68" s="152">
        <v>4.5</v>
      </c>
    </row>
    <row r="69" spans="2:6">
      <c r="E69" t="s">
        <v>566</v>
      </c>
      <c r="F69" s="152">
        <v>5.5</v>
      </c>
    </row>
    <row r="70" spans="2:6">
      <c r="D70" t="s">
        <v>392</v>
      </c>
      <c r="E70" t="s">
        <v>567</v>
      </c>
      <c r="F70" s="152">
        <v>8</v>
      </c>
    </row>
    <row r="71" spans="2:6">
      <c r="E71" t="s">
        <v>568</v>
      </c>
      <c r="F71" s="152">
        <v>9</v>
      </c>
    </row>
    <row r="72" spans="2:6">
      <c r="E72" t="s">
        <v>569</v>
      </c>
      <c r="F72" s="152">
        <v>10</v>
      </c>
    </row>
    <row r="73" spans="2:6">
      <c r="E73" t="s">
        <v>570</v>
      </c>
      <c r="F73" s="152">
        <v>11.5</v>
      </c>
    </row>
    <row r="74" spans="2:6">
      <c r="B74" t="s">
        <v>517</v>
      </c>
      <c r="C74" t="s">
        <v>584</v>
      </c>
      <c r="D74" t="s">
        <v>584</v>
      </c>
      <c r="E74" t="s">
        <v>572</v>
      </c>
      <c r="F74" s="152">
        <v>2.5</v>
      </c>
    </row>
    <row r="75" spans="2:6">
      <c r="C75" t="s">
        <v>571</v>
      </c>
      <c r="E75" t="s">
        <v>573</v>
      </c>
      <c r="F75" s="152">
        <v>3</v>
      </c>
    </row>
    <row r="76" spans="2:6">
      <c r="E76" t="s">
        <v>574</v>
      </c>
      <c r="F76" s="152">
        <v>3.5</v>
      </c>
    </row>
    <row r="77" spans="2:6">
      <c r="E77" t="s">
        <v>575</v>
      </c>
      <c r="F77" s="152">
        <v>4.5</v>
      </c>
    </row>
    <row r="78" spans="2:6">
      <c r="D78" t="s">
        <v>576</v>
      </c>
      <c r="E78" t="s">
        <v>577</v>
      </c>
      <c r="F78" s="152">
        <v>3</v>
      </c>
    </row>
    <row r="79" spans="2:6">
      <c r="E79" t="s">
        <v>578</v>
      </c>
      <c r="F79" s="152">
        <v>3.5</v>
      </c>
    </row>
    <row r="80" spans="2:6">
      <c r="E80" t="s">
        <v>579</v>
      </c>
      <c r="F80" s="152">
        <v>4.5</v>
      </c>
    </row>
    <row r="81" spans="5:6">
      <c r="E81" t="s">
        <v>580</v>
      </c>
      <c r="F81" s="152">
        <v>5</v>
      </c>
    </row>
    <row r="82" spans="5:6">
      <c r="E82" t="s">
        <v>581</v>
      </c>
      <c r="F82" s="152">
        <v>5.5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154</vt:i4>
      </vt:variant>
    </vt:vector>
  </HeadingPairs>
  <TitlesOfParts>
    <vt:vector size="193" baseType="lpstr">
      <vt:lpstr>Tender Summary</vt:lpstr>
      <vt:lpstr>Preliminaries</vt:lpstr>
      <vt:lpstr>Sub-contractor analysis</vt:lpstr>
      <vt:lpstr>Labour Analysis</vt:lpstr>
      <vt:lpstr>Plant Analysis</vt:lpstr>
      <vt:lpstr>DataAggregate</vt:lpstr>
      <vt:lpstr>DataBrick</vt:lpstr>
      <vt:lpstr>DataTimber</vt:lpstr>
      <vt:lpstr>DataInsulation</vt:lpstr>
      <vt:lpstr>DataSheetMats</vt:lpstr>
      <vt:lpstr>DataLintels</vt:lpstr>
      <vt:lpstr>DataGuttering</vt:lpstr>
      <vt:lpstr>Material Analysis</vt:lpstr>
      <vt:lpstr>Site set up &amp; demolitions</vt:lpstr>
      <vt:lpstr>Groundwork (Machine)</vt:lpstr>
      <vt:lpstr>Brickwork to DPC</vt:lpstr>
      <vt:lpstr>Ground floor (Beam &amp; Block)</vt:lpstr>
      <vt:lpstr>External walls (Brickwork)</vt:lpstr>
      <vt:lpstr>Stone work</vt:lpstr>
      <vt:lpstr>Lintels &amp; steelwork</vt:lpstr>
      <vt:lpstr>External Joinery</vt:lpstr>
      <vt:lpstr>First-floor</vt:lpstr>
      <vt:lpstr>Roof Structure (Truss)</vt:lpstr>
      <vt:lpstr>DataRoof</vt:lpstr>
      <vt:lpstr>Roof Covers</vt:lpstr>
      <vt:lpstr>Carpentry (First-fix)</vt:lpstr>
      <vt:lpstr>Plaster, Drylining &amp; Insulation</vt:lpstr>
      <vt:lpstr>Carpentry (Second-fix)</vt:lpstr>
      <vt:lpstr>Painting</vt:lpstr>
      <vt:lpstr>M&amp;E</vt:lpstr>
      <vt:lpstr>Guttering</vt:lpstr>
      <vt:lpstr>Bel Ground Drain (Storm - Mach)</vt:lpstr>
      <vt:lpstr>Bel Ground Drain (Foul - Mach)</vt:lpstr>
      <vt:lpstr>Foul Pumping Station</vt:lpstr>
      <vt:lpstr>Rainwater Attenuation</vt:lpstr>
      <vt:lpstr>Rainwater Harvester</vt:lpstr>
      <vt:lpstr>External Works</vt:lpstr>
      <vt:lpstr>Services</vt:lpstr>
      <vt:lpstr>Collection</vt:lpstr>
      <vt:lpstr>AcousticRoll</vt:lpstr>
      <vt:lpstr>Aggregate</vt:lpstr>
      <vt:lpstr>AL_Gutter</vt:lpstr>
      <vt:lpstr>ArchitravePrices</vt:lpstr>
      <vt:lpstr>Architraves</vt:lpstr>
      <vt:lpstr>BlockPrices</vt:lpstr>
      <vt:lpstr>BlockType</vt:lpstr>
      <vt:lpstr>Bond</vt:lpstr>
      <vt:lpstr>Box_100</vt:lpstr>
      <vt:lpstr>Box_200</vt:lpstr>
      <vt:lpstr>BrickBond</vt:lpstr>
      <vt:lpstr>BrickThickness</vt:lpstr>
      <vt:lpstr>BrickType</vt:lpstr>
      <vt:lpstr>CavClosers</vt:lpstr>
      <vt:lpstr>CavitySlab</vt:lpstr>
      <vt:lpstr>Cedar</vt:lpstr>
      <vt:lpstr>Celcon</vt:lpstr>
      <vt:lpstr>Celotex</vt:lpstr>
      <vt:lpstr>CF_edge</vt:lpstr>
      <vt:lpstr>Chipboard</vt:lpstr>
      <vt:lpstr>CI_Gutter</vt:lpstr>
      <vt:lpstr>CladdingPrices</vt:lpstr>
      <vt:lpstr>CladdingType</vt:lpstr>
      <vt:lpstr>CLS</vt:lpstr>
      <vt:lpstr>CLSPrice</vt:lpstr>
      <vt:lpstr>Concrete</vt:lpstr>
      <vt:lpstr>ConcretePrice</vt:lpstr>
      <vt:lpstr>CShiplap</vt:lpstr>
      <vt:lpstr>CTGV</vt:lpstr>
      <vt:lpstr>DoorLinings</vt:lpstr>
      <vt:lpstr>Dritherm</vt:lpstr>
      <vt:lpstr>Earthwool</vt:lpstr>
      <vt:lpstr>FasciasSoffits</vt:lpstr>
      <vt:lpstr>FlatPrices</vt:lpstr>
      <vt:lpstr>FlatTypes</vt:lpstr>
      <vt:lpstr>Flexi</vt:lpstr>
      <vt:lpstr>GA</vt:lpstr>
      <vt:lpstr>GA_Price</vt:lpstr>
      <vt:lpstr>Gravel</vt:lpstr>
      <vt:lpstr>GravelPrice</vt:lpstr>
      <vt:lpstr>Gutter</vt:lpstr>
      <vt:lpstr>GutterPrices</vt:lpstr>
      <vt:lpstr>Hardcore</vt:lpstr>
      <vt:lpstr>HardcorePrice</vt:lpstr>
      <vt:lpstr>HW_Arch</vt:lpstr>
      <vt:lpstr>HW_Board</vt:lpstr>
      <vt:lpstr>HW_Lining</vt:lpstr>
      <vt:lpstr>HW_Skirting</vt:lpstr>
      <vt:lpstr>HW_Stairs</vt:lpstr>
      <vt:lpstr>I.G.</vt:lpstr>
      <vt:lpstr>Insulation</vt:lpstr>
      <vt:lpstr>K_18</vt:lpstr>
      <vt:lpstr>K_3</vt:lpstr>
      <vt:lpstr>K_7</vt:lpstr>
      <vt:lpstr>K18Price</vt:lpstr>
      <vt:lpstr>K3Price</vt:lpstr>
      <vt:lpstr>K7Price</vt:lpstr>
      <vt:lpstr>Kingspan</vt:lpstr>
      <vt:lpstr>LF_edge</vt:lpstr>
      <vt:lpstr>LiningPrices</vt:lpstr>
      <vt:lpstr>LintelPrices</vt:lpstr>
      <vt:lpstr>Lintels</vt:lpstr>
      <vt:lpstr>LoftRoll</vt:lpstr>
      <vt:lpstr>LShiplap</vt:lpstr>
      <vt:lpstr>LTGV</vt:lpstr>
      <vt:lpstr>MDF</vt:lpstr>
      <vt:lpstr>OneBond</vt:lpstr>
      <vt:lpstr>OneBrickBond</vt:lpstr>
      <vt:lpstr>OneHalfBond</vt:lpstr>
      <vt:lpstr>OneHalfBrickBond</vt:lpstr>
      <vt:lpstr>OSB</vt:lpstr>
      <vt:lpstr>PitchedPrices</vt:lpstr>
      <vt:lpstr>PitchedTypes</vt:lpstr>
      <vt:lpstr>PL</vt:lpstr>
      <vt:lpstr>PLPrice</vt:lpstr>
      <vt:lpstr>Plywood</vt:lpstr>
      <vt:lpstr>PlywoodFascia</vt:lpstr>
      <vt:lpstr>'Bel Ground Drain (Foul - Mach)'!Print_Area</vt:lpstr>
      <vt:lpstr>'Bel Ground Drain (Storm - Mach)'!Print_Area</vt:lpstr>
      <vt:lpstr>'Brickwork to DPC'!Print_Area</vt:lpstr>
      <vt:lpstr>'Carpentry (First-fix)'!Print_Area</vt:lpstr>
      <vt:lpstr>'Carpentry (Second-fix)'!Print_Area</vt:lpstr>
      <vt:lpstr>Collection!Print_Area</vt:lpstr>
      <vt:lpstr>'External Joinery'!Print_Area</vt:lpstr>
      <vt:lpstr>'External walls (Brickwork)'!Print_Area</vt:lpstr>
      <vt:lpstr>'External Works'!Print_Area</vt:lpstr>
      <vt:lpstr>'First-floor'!Print_Area</vt:lpstr>
      <vt:lpstr>'Foul Pumping Station'!Print_Area</vt:lpstr>
      <vt:lpstr>'Ground floor (Beam &amp; Block)'!Print_Area</vt:lpstr>
      <vt:lpstr>'Groundwork (Machine)'!Print_Area</vt:lpstr>
      <vt:lpstr>Guttering!Print_Area</vt:lpstr>
      <vt:lpstr>'Lintels &amp; steelwork'!Print_Area</vt:lpstr>
      <vt:lpstr>Painting!Print_Area</vt:lpstr>
      <vt:lpstr>'Plaster, Drylining &amp; Insulation'!Print_Area</vt:lpstr>
      <vt:lpstr>'Rainwater Attenuation'!Print_Area</vt:lpstr>
      <vt:lpstr>'Rainwater Harvester'!Print_Area</vt:lpstr>
      <vt:lpstr>'Roof Covers'!Print_Area</vt:lpstr>
      <vt:lpstr>'Roof Structure (Truss)'!Print_Area</vt:lpstr>
      <vt:lpstr>Services!Print_Area</vt:lpstr>
      <vt:lpstr>'Site set up &amp; demolitions'!Print_Area</vt:lpstr>
      <vt:lpstr>'Stone work'!Print_Area</vt:lpstr>
      <vt:lpstr>'Sub-contractor analysis'!Print_Area</vt:lpstr>
      <vt:lpstr>Rockwool</vt:lpstr>
      <vt:lpstr>S_100</vt:lpstr>
      <vt:lpstr>S_75</vt:lpstr>
      <vt:lpstr>Sand</vt:lpstr>
      <vt:lpstr>SandPrice</vt:lpstr>
      <vt:lpstr>SF_edge</vt:lpstr>
      <vt:lpstr>SheetMaterial</vt:lpstr>
      <vt:lpstr>SheetPrices</vt:lpstr>
      <vt:lpstr>Shield</vt:lpstr>
      <vt:lpstr>SiberianLarch</vt:lpstr>
      <vt:lpstr>Skirting</vt:lpstr>
      <vt:lpstr>SkirtingPrices</vt:lpstr>
      <vt:lpstr>Softwood</vt:lpstr>
      <vt:lpstr>SoftwoodFascia</vt:lpstr>
      <vt:lpstr>Solar</vt:lpstr>
      <vt:lpstr>SShiplap</vt:lpstr>
      <vt:lpstr>StairPrices</vt:lpstr>
      <vt:lpstr>Stairs</vt:lpstr>
      <vt:lpstr>Standard</vt:lpstr>
      <vt:lpstr>STGV</vt:lpstr>
      <vt:lpstr>SW_Arch</vt:lpstr>
      <vt:lpstr>SW_Board</vt:lpstr>
      <vt:lpstr>SW_Lining</vt:lpstr>
      <vt:lpstr>SW_Skirting</vt:lpstr>
      <vt:lpstr>SW_Stairs</vt:lpstr>
      <vt:lpstr>SwTreated</vt:lpstr>
      <vt:lpstr>SwTreatedPrice</vt:lpstr>
      <vt:lpstr>SwUntreated</vt:lpstr>
      <vt:lpstr>SwUntreatedPrice</vt:lpstr>
      <vt:lpstr>TB</vt:lpstr>
      <vt:lpstr>TB_Price</vt:lpstr>
      <vt:lpstr>TD</vt:lpstr>
      <vt:lpstr>TDPrice</vt:lpstr>
      <vt:lpstr>Thermabate</vt:lpstr>
      <vt:lpstr>ThermabatePrices</vt:lpstr>
      <vt:lpstr>Thermalite</vt:lpstr>
      <vt:lpstr>Thermowood</vt:lpstr>
      <vt:lpstr>Tiles</vt:lpstr>
      <vt:lpstr>TimberType</vt:lpstr>
      <vt:lpstr>TP</vt:lpstr>
      <vt:lpstr>TPPrice</vt:lpstr>
      <vt:lpstr>TrussPrices</vt:lpstr>
      <vt:lpstr>TrussTypes</vt:lpstr>
      <vt:lpstr>TShiplap</vt:lpstr>
      <vt:lpstr>TTGV</vt:lpstr>
      <vt:lpstr>Turbo</vt:lpstr>
      <vt:lpstr>UPVC</vt:lpstr>
      <vt:lpstr>UPVC_Gutter</vt:lpstr>
      <vt:lpstr>WindowBoard</vt:lpstr>
      <vt:lpstr>WindowBoardPrices</vt:lpstr>
      <vt:lpstr>XR</vt:lpstr>
      <vt:lpstr>XRPrice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Stephens</dc:creator>
  <cp:lastModifiedBy>Daniel Darmody</cp:lastModifiedBy>
  <cp:lastPrinted>2015-08-07T14:28:19Z</cp:lastPrinted>
  <dcterms:created xsi:type="dcterms:W3CDTF">2013-10-14T13:27:55Z</dcterms:created>
  <dcterms:modified xsi:type="dcterms:W3CDTF">2015-08-07T14:30:15Z</dcterms:modified>
</cp:coreProperties>
</file>